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13_ncr:1_{EC6AA78A-E19C-4A6E-8F9D-89551A764566}" xr6:coauthVersionLast="47" xr6:coauthVersionMax="47" xr10:uidLastSave="{00000000-0000-0000-0000-000000000000}"/>
  <bookViews>
    <workbookView xWindow="-108" yWindow="-108" windowWidth="23256" windowHeight="12720" xr2:uid="{DFF4DE26-A923-48C1-BF49-8430C5980012}"/>
  </bookViews>
  <sheets>
    <sheet name="5" sheetId="1" r:id="rId1"/>
  </sheets>
  <externalReferences>
    <externalReference r:id="rId2"/>
  </externalReferences>
  <definedNames>
    <definedName name="newbasicPB4">[1]Sheet1!$T$4:$T$37</definedName>
    <definedName name="oldbasicPB4">[1]Sheet1!$S$4:$S$37</definedName>
    <definedName name="_xlnm.Print_Area" localSheetId="0">'5'!$A$1:$I$56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74" i="1" l="1"/>
  <c r="E172" i="1"/>
  <c r="C162" i="1"/>
  <c r="E170" i="1" s="1"/>
  <c r="E153" i="1"/>
  <c r="G153" i="1" s="1"/>
  <c r="D148" i="1"/>
  <c r="D146" i="1"/>
  <c r="D142" i="1"/>
  <c r="E98" i="1"/>
  <c r="E96" i="1"/>
  <c r="E94" i="1"/>
  <c r="C86" i="1"/>
  <c r="N80" i="1"/>
  <c r="P77" i="1"/>
  <c r="N77" i="1"/>
  <c r="P78" i="1" s="1"/>
  <c r="G77" i="1"/>
  <c r="E103" i="1" s="1"/>
  <c r="E77" i="1"/>
  <c r="H71" i="1"/>
  <c r="H53" i="1"/>
  <c r="L47" i="1"/>
  <c r="M39" i="1"/>
  <c r="M38" i="1"/>
  <c r="A36" i="1"/>
  <c r="G34" i="1"/>
  <c r="K33" i="1"/>
  <c r="D33" i="1"/>
  <c r="F32" i="1"/>
  <c r="L52" i="1" s="1"/>
  <c r="D32" i="1"/>
  <c r="G28" i="1"/>
  <c r="E40" i="1" s="1"/>
  <c r="G40" i="1" s="1"/>
  <c r="G27" i="1"/>
  <c r="C27" i="1"/>
  <c r="G26" i="1"/>
  <c r="C26" i="1"/>
  <c r="B26" i="1"/>
  <c r="L25" i="1"/>
  <c r="M33" i="1" s="1"/>
  <c r="C25" i="1"/>
  <c r="G24" i="1"/>
  <c r="C24" i="1"/>
  <c r="G23" i="1"/>
  <c r="H21" i="1"/>
  <c r="G18" i="1"/>
  <c r="F16" i="1"/>
  <c r="G13" i="1"/>
  <c r="G12" i="1"/>
  <c r="G14" i="1" s="1"/>
  <c r="M8" i="1"/>
  <c r="L8" i="1"/>
  <c r="G4" i="1" s="1"/>
  <c r="G7" i="1" s="1"/>
  <c r="G8" i="1"/>
  <c r="G5" i="1"/>
  <c r="I2" i="1"/>
  <c r="H59" i="1" l="1"/>
  <c r="G9" i="1"/>
  <c r="H10" i="1" s="1"/>
  <c r="F15" i="1"/>
  <c r="G16" i="1" s="1"/>
  <c r="G17" i="1" s="1"/>
  <c r="H18" i="1" s="1"/>
  <c r="H60" i="1" s="1"/>
  <c r="E179" i="1"/>
  <c r="E166" i="1"/>
  <c r="E90" i="1"/>
  <c r="G25" i="1"/>
  <c r="F33" i="1" s="1"/>
  <c r="G33" i="1" s="1"/>
  <c r="H36" i="1" s="1"/>
  <c r="H28" i="1" l="1"/>
  <c r="H61" i="1" s="1"/>
  <c r="H30" i="1"/>
  <c r="E37" i="1" s="1"/>
  <c r="H37" i="1" s="1"/>
  <c r="L51" i="1"/>
  <c r="M52" i="1" s="1"/>
  <c r="M53" i="1" s="1"/>
  <c r="H62" i="1"/>
  <c r="H64" i="1" s="1"/>
  <c r="H65" i="1" l="1"/>
  <c r="H66" i="1"/>
  <c r="M54" i="1"/>
  <c r="M55" i="1" s="1"/>
  <c r="M56" i="1" s="1"/>
  <c r="G42" i="1"/>
  <c r="E39" i="1"/>
  <c r="M40" i="1" l="1"/>
  <c r="M41" i="1" s="1"/>
  <c r="G39" i="1"/>
  <c r="G41" i="1" s="1"/>
  <c r="H42" i="1" s="1"/>
  <c r="H67" i="1"/>
  <c r="H68" i="1" s="1"/>
  <c r="G76" i="1" l="1"/>
  <c r="H43" i="1"/>
  <c r="H44" i="1" s="1"/>
  <c r="H45" i="1" l="1"/>
  <c r="H46" i="1"/>
  <c r="G78" i="1"/>
  <c r="G79" i="1" s="1"/>
  <c r="E102" i="1"/>
  <c r="E108" i="1" s="1"/>
  <c r="E109" i="1" s="1"/>
  <c r="H103" i="1" s="1"/>
  <c r="E89" i="1"/>
  <c r="E91" i="1" s="1"/>
  <c r="E76" i="1"/>
  <c r="E78" i="1" s="1"/>
  <c r="E79" i="1" s="1"/>
  <c r="E81" i="1" l="1"/>
  <c r="F81" i="1" s="1"/>
  <c r="G81" i="1" s="1"/>
  <c r="H81" i="1" s="1"/>
  <c r="E82" i="1"/>
  <c r="F82" i="1" s="1"/>
  <c r="G82" i="1" s="1"/>
  <c r="H82" i="1" s="1"/>
  <c r="E95" i="1"/>
  <c r="E93" i="1"/>
  <c r="E84" i="1"/>
  <c r="F84" i="1" s="1"/>
  <c r="G84" i="1" s="1"/>
  <c r="H84" i="1" s="1"/>
  <c r="E83" i="1"/>
  <c r="F83" i="1" s="1"/>
  <c r="G83" i="1" s="1"/>
  <c r="H83" i="1" s="1"/>
  <c r="K105" i="1"/>
  <c r="K106" i="1" s="1"/>
  <c r="H104" i="1"/>
  <c r="H105" i="1" s="1"/>
  <c r="H48" i="1"/>
  <c r="H54" i="1" s="1"/>
  <c r="B54" i="1" s="1"/>
  <c r="G152" i="1"/>
  <c r="B68" i="1"/>
  <c r="E152" i="1"/>
  <c r="E154" i="1" s="1"/>
  <c r="E155" i="1" s="1"/>
  <c r="E157" i="1" l="1"/>
  <c r="F157" i="1" s="1"/>
  <c r="G157" i="1" s="1"/>
  <c r="H157" i="1" s="1"/>
  <c r="E158" i="1"/>
  <c r="F158" i="1" s="1"/>
  <c r="G158" i="1" s="1"/>
  <c r="H158" i="1" s="1"/>
  <c r="B70" i="1"/>
  <c r="C68" i="1"/>
  <c r="H108" i="1"/>
  <c r="F95" i="1"/>
  <c r="E99" i="1"/>
  <c r="F99" i="1" s="1"/>
  <c r="H89" i="1" s="1"/>
  <c r="G154" i="1"/>
  <c r="G155" i="1" s="1"/>
  <c r="E178" i="1"/>
  <c r="E184" i="1" s="1"/>
  <c r="E185" i="1" s="1"/>
  <c r="H179" i="1" s="1"/>
  <c r="E165" i="1"/>
  <c r="E167" i="1" s="1"/>
  <c r="H86" i="1"/>
  <c r="K81" i="1" l="1"/>
  <c r="E171" i="1"/>
  <c r="E169" i="1"/>
  <c r="K95" i="1"/>
  <c r="K96" i="1" s="1"/>
  <c r="H90" i="1"/>
  <c r="E160" i="1"/>
  <c r="F160" i="1" s="1"/>
  <c r="G160" i="1" s="1"/>
  <c r="H160" i="1" s="1"/>
  <c r="E159" i="1"/>
  <c r="F159" i="1" s="1"/>
  <c r="G159" i="1" s="1"/>
  <c r="H159" i="1" s="1"/>
  <c r="H162" i="1" s="1"/>
  <c r="H180" i="1"/>
  <c r="H181" i="1" s="1"/>
  <c r="K180" i="1"/>
  <c r="K181" i="1" s="1"/>
  <c r="H184" i="1"/>
  <c r="K157" i="1" l="1"/>
  <c r="H93" i="1"/>
  <c r="H94" i="1" s="1"/>
  <c r="H95" i="1" s="1"/>
  <c r="H92" i="1"/>
  <c r="H91" i="1"/>
  <c r="H98" i="1" s="1"/>
  <c r="H74" i="1" s="1"/>
  <c r="H69" i="1" s="1"/>
  <c r="F171" i="1"/>
  <c r="E175" i="1"/>
  <c r="F175" i="1" s="1"/>
  <c r="H165" i="1" s="1"/>
  <c r="K82" i="1"/>
  <c r="K83" i="1"/>
  <c r="H166" i="1" l="1"/>
  <c r="C69" i="1"/>
  <c r="C70" i="1" s="1"/>
  <c r="H70" i="1"/>
  <c r="H72" i="1" s="1"/>
  <c r="K159" i="1"/>
  <c r="K158" i="1"/>
  <c r="H168" i="1" l="1"/>
  <c r="H167" i="1"/>
  <c r="H169" i="1"/>
  <c r="H170" i="1" s="1"/>
  <c r="H171" i="1" s="1"/>
  <c r="K168" i="1" s="1"/>
  <c r="K169" i="1" s="1"/>
  <c r="H174" i="1" l="1"/>
  <c r="H1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D3594AF3-8158-490D-B371-5E1F7C87EFF3}">
      <text>
        <r>
          <rPr>
            <b/>
            <sz val="8"/>
            <color indexed="81"/>
            <rFont val="Tahoma"/>
            <family val="2"/>
          </rPr>
          <t>RATHORE:</t>
        </r>
        <r>
          <rPr>
            <sz val="8"/>
            <color indexed="81"/>
            <rFont val="Tahoma"/>
            <family val="2"/>
          </rPr>
          <t xml:space="preserve">
</t>
        </r>
      </text>
    </comment>
    <comment ref="C50" authorId="0" shapeId="0" xr:uid="{5E26F9B6-3C5B-4880-81DE-181FBF71C5AB}">
      <text>
        <r>
          <rPr>
            <b/>
            <sz val="8"/>
            <color indexed="81"/>
            <rFont val="Tahoma"/>
            <family val="2"/>
          </rPr>
          <t>RATHORE:</t>
        </r>
        <r>
          <rPr>
            <sz val="8"/>
            <color indexed="81"/>
            <rFont val="Tahoma"/>
            <family val="2"/>
          </rPr>
          <t xml:space="preserve">
</t>
        </r>
      </text>
    </comment>
    <comment ref="B54" authorId="0" shapeId="0" xr:uid="{E50C8D77-FA06-4993-A702-6A5967B5FDFE}">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<sst xmlns="http://schemas.openxmlformats.org/spreadsheetml/2006/main" count="323" uniqueCount="254">
  <si>
    <t>Dr. V.K. Singhania's Book</t>
  </si>
  <si>
    <t xml:space="preserve">A S S E S S M E N T   Y E A R  :  2 0 2 1 - 2 2 </t>
  </si>
  <si>
    <t>Case 5  (Lottery, HP Loss  B/f )</t>
  </si>
  <si>
    <t>Exempted</t>
  </si>
  <si>
    <t>Filing Date</t>
  </si>
  <si>
    <t>65th Edition:  August-2021</t>
  </si>
  <si>
    <t>Case Study-5</t>
  </si>
  <si>
    <t>Pgs  532-533</t>
  </si>
  <si>
    <t>Ram Singh Anand</t>
  </si>
  <si>
    <t xml:space="preserve">Basic Salary </t>
  </si>
  <si>
    <r>
      <t xml:space="preserve">SALARIES </t>
    </r>
    <r>
      <rPr>
        <sz val="10"/>
        <color theme="1"/>
        <rFont val="Arial"/>
        <family val="2"/>
      </rPr>
      <t>U/S 15-17</t>
    </r>
  </si>
  <si>
    <t>Amount (Rs.)</t>
  </si>
  <si>
    <t>14i</t>
  </si>
  <si>
    <t>Conveyance Allowance</t>
  </si>
  <si>
    <t xml:space="preserve">Due date </t>
  </si>
  <si>
    <t>Sec 17(1)</t>
  </si>
  <si>
    <t>Basic Salary and Allowances</t>
  </si>
  <si>
    <t>13A</t>
  </si>
  <si>
    <t>House Rent Allowance</t>
  </si>
  <si>
    <t>Sec 17(2)</t>
  </si>
  <si>
    <t xml:space="preserve">Value of Perquisites </t>
  </si>
  <si>
    <t>14ii</t>
  </si>
  <si>
    <t>Children Education Allowance</t>
  </si>
  <si>
    <t>System Date</t>
  </si>
  <si>
    <t>Sec 17(3)</t>
  </si>
  <si>
    <t xml:space="preserve">Profit in lieu of Salary </t>
  </si>
  <si>
    <t>Transport Allowance</t>
  </si>
  <si>
    <t xml:space="preserve">Gross Salary </t>
  </si>
  <si>
    <t>Leave Salary</t>
  </si>
  <si>
    <t>Late Fees</t>
  </si>
  <si>
    <t>Sec 10</t>
  </si>
  <si>
    <t xml:space="preserve">Less Exempt Allow </t>
  </si>
  <si>
    <t>Jan-Mar 22</t>
  </si>
  <si>
    <t xml:space="preserve">Net Salary </t>
  </si>
  <si>
    <t xml:space="preserve">Leave Travel Concession </t>
  </si>
  <si>
    <t>Sec 16(ia)</t>
  </si>
  <si>
    <t>Less Standard  Deduction</t>
  </si>
  <si>
    <r>
      <t xml:space="preserve">HOUSE PROPERTY </t>
    </r>
    <r>
      <rPr>
        <sz val="10"/>
        <color theme="1"/>
        <rFont val="Arial"/>
        <family val="2"/>
      </rPr>
      <t>U/S 22-27</t>
    </r>
  </si>
  <si>
    <t>Let-Out</t>
  </si>
  <si>
    <t xml:space="preserve">Annual Value </t>
  </si>
  <si>
    <t xml:space="preserve">Less  Municipal Taxes Paid </t>
  </si>
  <si>
    <t xml:space="preserve">Rent Received (No TDS) </t>
  </si>
  <si>
    <t xml:space="preserve">Municipal Taxes Paid </t>
  </si>
  <si>
    <t>Sec 24</t>
  </si>
  <si>
    <t>LESS: Deduction</t>
  </si>
  <si>
    <t xml:space="preserve">Std Ded 30% </t>
  </si>
  <si>
    <t>Interest on Housing Loan to Purchase Property</t>
  </si>
  <si>
    <t xml:space="preserve">Intt on H  Loan </t>
  </si>
  <si>
    <t>HP Loss B/f AY 2020-21 (Filed on 15-06-20, Due Date 10-01-21)</t>
  </si>
  <si>
    <t>Less House Property Loss B/f (AY 2020-21)</t>
  </si>
  <si>
    <r>
      <t xml:space="preserve">CAPITAL GAINS </t>
    </r>
    <r>
      <rPr>
        <sz val="10"/>
        <color theme="1"/>
        <rFont val="Arial"/>
        <family val="2"/>
      </rPr>
      <t>U/S 45 - 55</t>
    </r>
  </si>
  <si>
    <t>SHORT TERM CAPITAL GAIN</t>
  </si>
  <si>
    <t xml:space="preserve">LONG TERM CAPITAL GAIN </t>
  </si>
  <si>
    <r>
      <t xml:space="preserve">OTHER SOURCES </t>
    </r>
    <r>
      <rPr>
        <sz val="10"/>
        <color theme="1"/>
        <rFont val="Arial"/>
        <family val="2"/>
      </rPr>
      <t>U/S 56-59</t>
    </r>
  </si>
  <si>
    <t xml:space="preserve">Saving Bank Interest </t>
  </si>
  <si>
    <t>Interest on Loan given  to Friend</t>
  </si>
  <si>
    <t>Accrued Intt on NSCs (01-01-18)</t>
  </si>
  <si>
    <t xml:space="preserve">Dividend (No TDS) </t>
  </si>
  <si>
    <t xml:space="preserve">Intt on Income Tax Refund </t>
  </si>
  <si>
    <t xml:space="preserve">Lottery  (Gross Rs.  35000 * 100 / 70)  </t>
  </si>
  <si>
    <t>2(a)</t>
  </si>
  <si>
    <t xml:space="preserve">Lottery  (Net of TDS @ 30%) </t>
  </si>
  <si>
    <t>Tax Periods (16-09-20 to 15-12-20)</t>
  </si>
  <si>
    <t>(No TDS upto 10000)</t>
  </si>
  <si>
    <t>GROSS TOTAL INCOME</t>
  </si>
  <si>
    <t xml:space="preserve">LESS: DEDUCTIONS UNDER CHAPTER VI-A </t>
  </si>
  <si>
    <t xml:space="preserve">Sec 80C </t>
  </si>
  <si>
    <t>Prov Fund</t>
  </si>
  <si>
    <r>
      <t xml:space="preserve">Sec  80CCD(1) </t>
    </r>
    <r>
      <rPr>
        <sz val="9"/>
        <color theme="1"/>
        <rFont val="Arial"/>
        <family val="2"/>
      </rPr>
      <t>New Pension Scheme</t>
    </r>
  </si>
  <si>
    <t xml:space="preserve">NPS </t>
  </si>
  <si>
    <t>Sec 80D</t>
  </si>
  <si>
    <t xml:space="preserve">Mediclaim    In-Laws Not  allowed </t>
  </si>
  <si>
    <t xml:space="preserve">Nil </t>
  </si>
  <si>
    <r>
      <t xml:space="preserve">Medical Ins Prem - Sasu &amp; Sasura </t>
    </r>
    <r>
      <rPr>
        <sz val="9"/>
        <color theme="3" tint="-0.249977111117893"/>
        <rFont val="Arial"/>
        <family val="2"/>
      </rPr>
      <t xml:space="preserve">(Sr Citizens) </t>
    </r>
  </si>
  <si>
    <t>Sec 80TTA</t>
  </si>
  <si>
    <t>SB Interest</t>
  </si>
  <si>
    <t xml:space="preserve">TOTAL  INCOME </t>
  </si>
  <si>
    <t>Rounding Off u/s 288A</t>
  </si>
  <si>
    <t xml:space="preserve">Income tax </t>
  </si>
  <si>
    <t xml:space="preserve">TAX ON TOTAL INCOME </t>
  </si>
  <si>
    <t xml:space="preserve">INCOME  </t>
  </si>
  <si>
    <t>RATE</t>
  </si>
  <si>
    <t>TAX</t>
  </si>
  <si>
    <t>250,000  to  500,000</t>
  </si>
  <si>
    <t>NORMAL INCOME</t>
  </si>
  <si>
    <t>500,000 to 1000,000</t>
  </si>
  <si>
    <t xml:space="preserve">Lottery </t>
  </si>
  <si>
    <t>SPECIAL INCOME</t>
  </si>
  <si>
    <t xml:space="preserve">      Above   1000,000</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</si>
  <si>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</si>
  <si>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</si>
  <si>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</si>
  <si>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Details of Assets &amp; Liabilities</t>
  </si>
  <si>
    <t xml:space="preserve">Acq Cost </t>
  </si>
  <si>
    <t>Resi House Property (Let-Out)</t>
  </si>
  <si>
    <t xml:space="preserve">ADD : HEALTH &amp; EDUCATION CESS (4 % on Income Tax + Surcharge) </t>
  </si>
  <si>
    <t>Motor Car (i20) purchased 2016-17</t>
  </si>
  <si>
    <r>
      <t>TOTAL TAX PAYABLE</t>
    </r>
    <r>
      <rPr>
        <sz val="10"/>
        <color theme="1"/>
        <rFont val="Arial"/>
        <family val="2"/>
      </rPr>
      <t xml:space="preserve"> (including Surcharge &amp; Cesses) </t>
    </r>
  </si>
  <si>
    <t>Cash in Hand</t>
  </si>
  <si>
    <t xml:space="preserve">ADD : INTEREST U/S 234A, 234B &amp; 234C </t>
  </si>
  <si>
    <t xml:space="preserve">ADD : Late Fees U/S 234F </t>
  </si>
  <si>
    <t>Rs. 5000 (Jan-Mar 2022)</t>
  </si>
  <si>
    <t xml:space="preserve">Loan to Purchase car </t>
  </si>
  <si>
    <t xml:space="preserve">TAX PAID U/S 199 : </t>
  </si>
  <si>
    <t>Self-Assessment Tax Paid  U/S 140A</t>
  </si>
  <si>
    <t>TDS to be deducted  by the Employer</t>
  </si>
  <si>
    <r>
      <t xml:space="preserve">T. D. S.  U/S </t>
    </r>
    <r>
      <rPr>
        <sz val="10"/>
        <color theme="9" tint="-0.249977111117893"/>
        <rFont val="Arial Narrow"/>
        <family val="2"/>
      </rPr>
      <t xml:space="preserve">192 </t>
    </r>
  </si>
  <si>
    <t>Tata Overseas Computers Ltd</t>
  </si>
  <si>
    <t xml:space="preserve">Salary after Std Deduction </t>
  </si>
  <si>
    <r>
      <t xml:space="preserve">T. D. S.  U/S </t>
    </r>
    <r>
      <rPr>
        <sz val="10"/>
        <color theme="9" tint="-0.249977111117893"/>
        <rFont val="Arial Narrow"/>
        <family val="2"/>
      </rPr>
      <t>194B</t>
    </r>
  </si>
  <si>
    <t>Jagatpur Lottery Authority</t>
  </si>
  <si>
    <t>Deds 80C_80CCD (1B)</t>
  </si>
  <si>
    <t xml:space="preserve">Income Tax </t>
  </si>
  <si>
    <t>Rounding Off u/s 288B</t>
  </si>
  <si>
    <t xml:space="preserve">Surcharge </t>
  </si>
  <si>
    <t xml:space="preserve">Tax Cals by Dr SB Rathore, Former Associate Professor of Commerce;  42 yrs Teaching Experience (Oct-77 to Dec-19) in Shyam Lal College (University of Delhi) </t>
  </si>
  <si>
    <t xml:space="preserve">HEC </t>
  </si>
  <si>
    <t>Website: www.taxclasses.in</t>
  </si>
  <si>
    <t xml:space="preserve">FaceBook: DrSB Rathore </t>
  </si>
  <si>
    <t xml:space="preserve">YouTube: Dr Rathore's tax Video Lectures (No Advertisements) </t>
  </si>
  <si>
    <t>New Tax Rates Regime</t>
  </si>
  <si>
    <t>Salaries</t>
  </si>
  <si>
    <t xml:space="preserve">   Upto             2,50,000</t>
  </si>
  <si>
    <t>House Property</t>
  </si>
  <si>
    <t>2,50,001   to    5,00,000</t>
  </si>
  <si>
    <t>Others</t>
  </si>
  <si>
    <t>Lottery @ 30%</t>
  </si>
  <si>
    <t>Other Sources</t>
  </si>
  <si>
    <t>5,00,001   to    7,50,000</t>
  </si>
  <si>
    <t>Total income</t>
  </si>
  <si>
    <t>7,50,001   to  10,00,000</t>
  </si>
  <si>
    <t>10,00,001 to  12,50,000</t>
  </si>
  <si>
    <t>Lottery Rs. 50000</t>
  </si>
  <si>
    <t>Tax @ 30% Rs 15000</t>
  </si>
  <si>
    <t>12,50,001  to  15,00,000</t>
  </si>
  <si>
    <t xml:space="preserve">   Above         15,00,000</t>
  </si>
  <si>
    <t xml:space="preserve">No Change </t>
  </si>
  <si>
    <t xml:space="preserve">Old Regime </t>
  </si>
  <si>
    <t xml:space="preserve">Difference </t>
  </si>
  <si>
    <t>Rebate u/s 87A (if TI upto  5 Lakhs)</t>
  </si>
  <si>
    <t xml:space="preserve">Tax </t>
  </si>
  <si>
    <t>Total Liability</t>
  </si>
  <si>
    <t>10%  Surcharge   (TI 50 Lakhs - 100 Lakhs)</t>
  </si>
  <si>
    <t>Intt</t>
  </si>
  <si>
    <t xml:space="preserve">Add Interest </t>
  </si>
  <si>
    <t>Health &amp; Education Cess @ 4%</t>
  </si>
  <si>
    <t xml:space="preserve">Total </t>
  </si>
  <si>
    <t>(2310000 + 15000 + 34000)</t>
  </si>
  <si>
    <t xml:space="preserve">TDS + Self Tax </t>
  </si>
  <si>
    <t xml:space="preserve">Total Tax Payable </t>
  </si>
  <si>
    <r>
      <t xml:space="preserve">Calculation  of Interest under Sections 234A, 234B &amp; 234C </t>
    </r>
    <r>
      <rPr>
        <b/>
        <sz val="9"/>
        <color rgb="FFC00000"/>
        <rFont val="Arial"/>
        <family val="2"/>
      </rPr>
      <t xml:space="preserve">(New Regime) </t>
    </r>
  </si>
  <si>
    <t>Total Interest</t>
  </si>
  <si>
    <r>
      <t>(</t>
    </r>
    <r>
      <rPr>
        <sz val="9"/>
        <color rgb="FFC00000"/>
        <rFont val="Arial"/>
        <family val="2"/>
      </rPr>
      <t xml:space="preserve">234C_36684 </t>
    </r>
    <r>
      <rPr>
        <sz val="9"/>
        <color theme="1"/>
        <rFont val="Arial"/>
        <family val="2"/>
      </rPr>
      <t xml:space="preserve">+ 234B_51282 + </t>
    </r>
    <r>
      <rPr>
        <sz val="9"/>
        <color theme="6" tint="-0.249977111117893"/>
        <rFont val="Arial"/>
        <family val="2"/>
      </rPr>
      <t>234A_21978</t>
    </r>
    <r>
      <rPr>
        <sz val="9"/>
        <color theme="1"/>
        <rFont val="Arial"/>
        <family val="2"/>
      </rPr>
      <t>)</t>
    </r>
  </si>
  <si>
    <t>Section 234C: In case of Non-Sr Citizen: If  Amount Exceeds Rs. 10000</t>
  </si>
  <si>
    <t>Total Tax, Surcharge &amp; Cess</t>
  </si>
  <si>
    <r>
      <t xml:space="preserve">Less TDS by the Employer, </t>
    </r>
    <r>
      <rPr>
        <sz val="9"/>
        <color rgb="FFC00000"/>
        <rFont val="Arial"/>
        <family val="2"/>
      </rPr>
      <t xml:space="preserve">Lottery </t>
    </r>
  </si>
  <si>
    <t>234C</t>
  </si>
  <si>
    <t xml:space="preserve">Liability for Advance tax </t>
  </si>
  <si>
    <t>234B</t>
  </si>
  <si>
    <t>234A</t>
  </si>
  <si>
    <t>Deposit Date</t>
  </si>
  <si>
    <t xml:space="preserve">Tax Amount </t>
  </si>
  <si>
    <t>Last Date</t>
  </si>
  <si>
    <t xml:space="preserve">Amount </t>
  </si>
  <si>
    <t>Round Down by 100</t>
  </si>
  <si>
    <t xml:space="preserve">Shortfall </t>
  </si>
  <si>
    <t>Interest</t>
  </si>
  <si>
    <t xml:space="preserve">Month </t>
  </si>
  <si>
    <t>Interest u/s 234C</t>
  </si>
  <si>
    <t>Oct</t>
  </si>
  <si>
    <t xml:space="preserve">Nov </t>
  </si>
  <si>
    <t>Lottery/ Div (16/10/20)</t>
  </si>
  <si>
    <t xml:space="preserve">Dec </t>
  </si>
  <si>
    <t>Section 234B:  If  Amount Exceeds Rs. 10000 (Less than 90 %.....)</t>
  </si>
  <si>
    <t xml:space="preserve">Less TDS by the Employer, Lottery </t>
  </si>
  <si>
    <t xml:space="preserve"> Tax Liability after TDS</t>
  </si>
  <si>
    <t>Interest u/s 234B</t>
  </si>
  <si>
    <t>Advance Tax   till 31-03-2021</t>
  </si>
  <si>
    <t xml:space="preserve">Tax Liability after Advance Tax </t>
  </si>
  <si>
    <t xml:space="preserve">Self-Assessment Tax Paid </t>
  </si>
  <si>
    <t xml:space="preserve">Adjusted for  Intt u/s 234C  </t>
  </si>
  <si>
    <t xml:space="preserve">Net Amt Paid </t>
  </si>
  <si>
    <t>Tax Liability after Self-Assessment Tax</t>
  </si>
  <si>
    <t>Section 234A:  If Amount Exceeds Rs. 100000</t>
  </si>
  <si>
    <t>Less TDS by the Employer, Lottery</t>
  </si>
  <si>
    <t>Interest u/s 234A</t>
  </si>
  <si>
    <t>Less Advance tax paid by 31-03-2021</t>
  </si>
  <si>
    <t>Add Interest u/s 234C till 31-03-2021</t>
  </si>
  <si>
    <t>Add Interest u/s 234B till 30-04-2021</t>
  </si>
  <si>
    <t>Less Self-Assessment Tax on 17-04-21</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</si>
  <si>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</si>
  <si>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</si>
  <si>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</si>
  <si>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</si>
  <si>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</si>
  <si>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</si>
  <si>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</si>
  <si>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</si>
  <si>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</si>
  <si>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</si>
  <si>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</si>
  <si>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</si>
  <si>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</si>
  <si>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</si>
  <si>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</si>
  <si>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</si>
  <si>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</si>
  <si>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</si>
  <si>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</si>
  <si>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</si>
  <si>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</si>
  <si>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</si>
  <si>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</si>
  <si>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</si>
  <si>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</si>
  <si>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</si>
  <si>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</si>
  <si>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</si>
  <si>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</si>
  <si>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</si>
  <si>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</si>
  <si>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</si>
  <si>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</si>
  <si>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</si>
  <si>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</si>
  <si>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</si>
  <si>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</si>
  <si>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</si>
  <si>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</si>
  <si>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</si>
  <si>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</si>
  <si>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</si>
  <si>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</si>
  <si>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</si>
  <si>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</si>
  <si>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</si>
  <si>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Sec 10(5) Leave Travel </t>
  </si>
  <si>
    <t xml:space="preserve">Std Ded  u/s 16 (ia) </t>
  </si>
  <si>
    <t>Dearness Allowance</t>
  </si>
  <si>
    <t>Sec 10(13A) HRA</t>
  </si>
  <si>
    <t>Employment Tax</t>
  </si>
  <si>
    <t xml:space="preserve">Sec 10(14)(i) Conveyance </t>
  </si>
  <si>
    <t>Sec 10(14)(iI) CEA</t>
  </si>
  <si>
    <t>Leave Travel Allowance</t>
  </si>
  <si>
    <t>Children Edu Allowance</t>
  </si>
  <si>
    <t>Other Allowances</t>
  </si>
  <si>
    <t xml:space="preserve">Sec 17 (2) Perks </t>
  </si>
  <si>
    <t xml:space="preserve">Accommodation </t>
  </si>
  <si>
    <t xml:space="preserve">Car </t>
  </si>
  <si>
    <t xml:space="preserve">Sec 17 (3) Profit In lieu of Salary </t>
  </si>
  <si>
    <r>
      <t xml:space="preserve">Calculation  of Interest under Sections 234A, 234B &amp; 234C </t>
    </r>
    <r>
      <rPr>
        <b/>
        <sz val="9"/>
        <color rgb="FFC00000"/>
        <rFont val="Arial"/>
        <family val="2"/>
      </rPr>
      <t xml:space="preserve">(Old Regime) </t>
    </r>
  </si>
  <si>
    <r>
      <t>(</t>
    </r>
    <r>
      <rPr>
        <sz val="9"/>
        <color rgb="FFC00000"/>
        <rFont val="Arial"/>
        <family val="2"/>
      </rPr>
      <t xml:space="preserve">234C_36774 </t>
    </r>
    <r>
      <rPr>
        <sz val="9"/>
        <color theme="1"/>
        <rFont val="Arial"/>
        <family val="2"/>
      </rPr>
      <t xml:space="preserve">+ 234B_51408 + </t>
    </r>
    <r>
      <rPr>
        <sz val="9"/>
        <color theme="6" tint="-0.249977111117893"/>
        <rFont val="Arial"/>
        <family val="2"/>
      </rPr>
      <t>234A_22032</t>
    </r>
    <r>
      <rPr>
        <sz val="9"/>
        <color theme="1"/>
        <rFont val="Arial"/>
        <family val="2"/>
      </rPr>
      <t>)</t>
    </r>
  </si>
  <si>
    <t>Less TDS by the Employer, Bank</t>
  </si>
  <si>
    <t>Interest till the date of making Video i.e 07-10-21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</si>
</sst>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83" x14ac:knownFonts="1">
    <font>
      <sz val="10"/>
      <name val="Arial"/>
    </font>
    <font>
      <sz val="10"/>
      <name val="Arial"/>
      <family val="2"/>
    </font>
    <font>
      <b/>
      <sz val="8"/>
      <color rgb="FF2B0CE4"/>
      <name val="Arial"/>
      <family val="2"/>
    </font>
    <font>
      <sz val="11"/>
      <color theme="1"/>
      <name val="Arial"/>
      <family val="2"/>
    </font>
    <font>
      <sz val="10"/>
      <color rgb="FFC00000"/>
      <name val="Arial Narrow"/>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sz val="8"/>
      <color theme="9" tint="-0.249977111117893"/>
      <name val="Arial"/>
      <family val="2"/>
    </font>
    <font>
      <b/>
      <u/>
      <sz val="10"/>
      <color theme="1"/>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10"/>
      <color rgb="FF0000FF"/>
      <name val="Arial"/>
      <family val="2"/>
    </font>
    <font>
      <sz val="9"/>
      <color rgb="FF7030A0"/>
      <name val="Arial"/>
      <family val="2"/>
    </font>
    <font>
      <sz val="9"/>
      <name val="Arial"/>
      <family val="2"/>
    </font>
    <font>
      <sz val="8"/>
      <color theme="1"/>
      <name val="Arial Narrow"/>
      <family val="2"/>
    </font>
    <font>
      <sz val="8"/>
      <color rgb="FF0000FF"/>
      <name val="Arial Narrow"/>
      <family val="2"/>
    </font>
    <font>
      <i/>
      <sz val="8"/>
      <color rgb="FFFF0000"/>
      <name val="Arial"/>
      <family val="2"/>
    </font>
    <font>
      <sz val="8"/>
      <color rgb="FF0000FF"/>
      <name val="Arial"/>
      <family val="2"/>
    </font>
    <font>
      <sz val="8"/>
      <name val="Arial"/>
      <family val="2"/>
    </font>
    <font>
      <b/>
      <sz val="10"/>
      <name val="Arial"/>
      <family val="2"/>
    </font>
    <font>
      <u/>
      <sz val="10"/>
      <color theme="1"/>
      <name val="Arial"/>
      <family val="2"/>
    </font>
    <font>
      <sz val="10"/>
      <color theme="3" tint="-0.249977111117893"/>
      <name val="Arial"/>
      <family val="2"/>
    </font>
    <font>
      <i/>
      <u/>
      <sz val="10"/>
      <color theme="1"/>
      <name val="Arial"/>
      <family val="2"/>
    </font>
    <font>
      <sz val="9"/>
      <color theme="3" tint="-0.249977111117893"/>
      <name val="Arial"/>
      <family val="2"/>
    </font>
    <font>
      <b/>
      <sz val="9"/>
      <color rgb="FF0000FF"/>
      <name val="Arial"/>
      <family val="2"/>
    </font>
    <font>
      <i/>
      <sz val="8"/>
      <color theme="1"/>
      <name val="Arial"/>
      <family val="2"/>
    </font>
    <font>
      <b/>
      <sz val="10"/>
      <color rgb="FFC00000"/>
      <name val="Arial Narrow"/>
      <family val="2"/>
    </font>
    <font>
      <sz val="10"/>
      <color theme="1"/>
      <name val="Arial Narrow"/>
      <family val="2"/>
    </font>
    <font>
      <sz val="9"/>
      <color rgb="FF00B0F0"/>
      <name val="Arial"/>
      <family val="2"/>
    </font>
    <font>
      <sz val="10"/>
      <color theme="9" tint="-0.249977111117893"/>
      <name val="Arial Narrow"/>
      <family val="2"/>
    </font>
    <font>
      <b/>
      <sz val="9"/>
      <color theme="7" tint="-0.249977111117893"/>
      <name val="Arial"/>
      <family val="2"/>
    </font>
    <font>
      <sz val="8"/>
      <color rgb="FF2B0CE4"/>
      <name val="Arial Narrow"/>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10"/>
      <color rgb="FFC00000"/>
      <name val="Arial"/>
      <family val="2"/>
    </font>
    <font>
      <b/>
      <sz val="10"/>
      <color theme="4" tint="-0.249977111117893"/>
      <name val="Arial"/>
      <family val="2"/>
    </font>
    <font>
      <sz val="11"/>
      <color rgb="FF0000FF"/>
      <name val="Arial Narrow"/>
      <family val="2"/>
    </font>
    <font>
      <sz val="10"/>
      <color rgb="FF0000FF"/>
      <name val="Arial Narrow"/>
      <family val="2"/>
    </font>
    <font>
      <b/>
      <sz val="10"/>
      <color rgb="FF00B050"/>
      <name val="Arial"/>
      <family val="2"/>
    </font>
    <font>
      <sz val="11"/>
      <color rgb="FFC00000"/>
      <name val="Arial Narrow"/>
      <family val="2"/>
    </font>
    <font>
      <b/>
      <sz val="10"/>
      <color rgb="FFC00000"/>
      <name val="Arial"/>
      <family val="2"/>
    </font>
    <font>
      <b/>
      <sz val="11"/>
      <color rgb="FFC00000"/>
      <name val="Arial Narrow"/>
      <family val="2"/>
    </font>
    <font>
      <b/>
      <sz val="11"/>
      <color rgb="FF0000FF"/>
      <name val="Arial Narrow"/>
      <family val="2"/>
    </font>
    <font>
      <sz val="12"/>
      <color rgb="FF0000FF"/>
      <name val="Arial Narrow"/>
      <family val="2"/>
    </font>
    <font>
      <sz val="10"/>
      <color rgb="FF00FF00"/>
      <name val="Arial"/>
      <family val="2"/>
    </font>
    <font>
      <sz val="8"/>
      <color rgb="FF00FF00"/>
      <name val="Arial"/>
      <family val="2"/>
    </font>
    <font>
      <b/>
      <sz val="9"/>
      <color indexed="12"/>
      <name val="Arial"/>
      <family val="2"/>
    </font>
    <font>
      <b/>
      <sz val="9"/>
      <color rgb="FFC00000"/>
      <name val="Arial"/>
      <family val="2"/>
    </font>
    <font>
      <sz val="9"/>
      <color theme="6" tint="-0.249977111117893"/>
      <name val="Arial"/>
      <family val="2"/>
    </font>
    <font>
      <b/>
      <sz val="9"/>
      <color theme="9" tint="-0.249977111117893"/>
      <name val="Arial"/>
      <family val="2"/>
    </font>
    <font>
      <sz val="10"/>
      <color indexed="12"/>
      <name val="Arial"/>
      <family val="2"/>
    </font>
    <font>
      <sz val="8"/>
      <color rgb="FFC00000"/>
      <name val="Arial"/>
      <family val="2"/>
    </font>
    <font>
      <i/>
      <sz val="9"/>
      <color rgb="FFC00000"/>
      <name val="Arial"/>
      <family val="2"/>
    </font>
    <font>
      <sz val="10"/>
      <color rgb="FFFF0000"/>
      <name val="Arial"/>
      <family val="2"/>
    </font>
    <font>
      <i/>
      <sz val="8"/>
      <color rgb="FF0000FF"/>
      <name val="Arial Narrow"/>
      <family val="2"/>
    </font>
    <font>
      <i/>
      <sz val="10"/>
      <name val="Arial"/>
      <family val="2"/>
    </font>
    <font>
      <sz val="10"/>
      <color rgb="FF00B050"/>
      <name val="Arial"/>
      <family val="2"/>
    </font>
    <font>
      <i/>
      <sz val="10"/>
      <color rgb="FF0000FF"/>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431">
    <xf numFmtId="0" fontId="0" fillId="0" borderId="0" xfId="0"/>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3" fillId="0" borderId="3" xfId="2"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5" xfId="0" applyFont="1" applyBorder="1" applyAlignment="1">
      <alignment horizontal="center"/>
    </xf>
    <xf numFmtId="0" fontId="3" fillId="0" borderId="0" xfId="0" applyFont="1"/>
    <xf numFmtId="0" fontId="7" fillId="0" borderId="6" xfId="2" applyFont="1" applyBorder="1" applyAlignment="1">
      <alignment horizontal="center" shrinkToFit="1"/>
    </xf>
    <xf numFmtId="0" fontId="7" fillId="0" borderId="7" xfId="2" applyFont="1" applyBorder="1" applyAlignment="1">
      <alignment horizontal="center" shrinkToFit="1"/>
    </xf>
    <xf numFmtId="0" fontId="8" fillId="0" borderId="7" xfId="2" applyFont="1" applyBorder="1" applyAlignment="1">
      <alignment horizontal="center"/>
    </xf>
    <xf numFmtId="0" fontId="9" fillId="0" borderId="7" xfId="2" applyFont="1" applyBorder="1" applyAlignment="1">
      <alignment horizontal="center"/>
    </xf>
    <xf numFmtId="0" fontId="10" fillId="0" borderId="7" xfId="0" applyFont="1" applyBorder="1" applyAlignment="1">
      <alignment horizontal="center"/>
    </xf>
    <xf numFmtId="15" fontId="11" fillId="0" borderId="7" xfId="2" applyNumberFormat="1" applyFont="1" applyBorder="1" applyAlignment="1">
      <alignment horizontal="center"/>
    </xf>
    <xf numFmtId="1" fontId="12" fillId="2" borderId="8" xfId="0" applyNumberFormat="1" applyFont="1" applyFill="1" applyBorder="1" applyAlignment="1">
      <alignment horizontal="center" shrinkToFit="1"/>
    </xf>
    <xf numFmtId="0" fontId="13" fillId="0" borderId="0" xfId="0" applyFont="1" applyAlignment="1">
      <alignment horizontal="center"/>
    </xf>
    <xf numFmtId="1" fontId="5" fillId="0" borderId="0" xfId="0" applyNumberFormat="1" applyFont="1"/>
    <xf numFmtId="0" fontId="5" fillId="0" borderId="0" xfId="0" applyFont="1"/>
    <xf numFmtId="15" fontId="6" fillId="0" borderId="9" xfId="0" applyNumberFormat="1" applyFont="1" applyBorder="1" applyAlignment="1">
      <alignment horizontal="center"/>
    </xf>
    <xf numFmtId="1" fontId="9" fillId="0" borderId="4" xfId="0" applyNumberFormat="1" applyFont="1" applyBorder="1" applyAlignment="1">
      <alignment shrinkToFit="1"/>
    </xf>
    <xf numFmtId="0" fontId="14" fillId="0" borderId="0" xfId="0" applyFont="1"/>
    <xf numFmtId="0" fontId="5" fillId="0" borderId="10" xfId="0" applyFont="1" applyBorder="1"/>
    <xf numFmtId="0" fontId="15" fillId="0" borderId="0" xfId="0" applyFont="1" applyAlignment="1">
      <alignment horizontal="center"/>
    </xf>
    <xf numFmtId="0" fontId="15" fillId="0" borderId="11" xfId="0" applyFont="1" applyBorder="1" applyAlignment="1">
      <alignment horizontal="center"/>
    </xf>
    <xf numFmtId="0" fontId="13" fillId="0" borderId="0" xfId="0" applyFont="1"/>
    <xf numFmtId="0" fontId="11" fillId="0" borderId="9" xfId="0" applyFont="1" applyBorder="1" applyAlignment="1">
      <alignment horizontal="center"/>
    </xf>
    <xf numFmtId="0" fontId="9" fillId="0" borderId="4" xfId="0" applyFont="1" applyBorder="1" applyAlignment="1">
      <alignment shrinkToFit="1"/>
    </xf>
    <xf numFmtId="0" fontId="9" fillId="0" borderId="0" xfId="0" applyFont="1"/>
    <xf numFmtId="0" fontId="16" fillId="0" borderId="0" xfId="0" applyFont="1" applyAlignment="1">
      <alignment horizontal="left"/>
    </xf>
    <xf numFmtId="1" fontId="5" fillId="3" borderId="10" xfId="0" applyNumberFormat="1" applyFont="1" applyFill="1" applyBorder="1"/>
    <xf numFmtId="1" fontId="17" fillId="0" borderId="0" xfId="0" applyNumberFormat="1" applyFont="1"/>
    <xf numFmtId="1" fontId="17" fillId="0" borderId="11" xfId="0" applyNumberFormat="1" applyFont="1" applyBorder="1"/>
    <xf numFmtId="15" fontId="11" fillId="0" borderId="9" xfId="0" applyNumberFormat="1" applyFont="1" applyBorder="1" applyAlignment="1">
      <alignment horizontal="center"/>
    </xf>
    <xf numFmtId="0" fontId="9" fillId="0" borderId="9" xfId="0" applyFont="1" applyBorder="1" applyAlignment="1">
      <alignment horizontal="center"/>
    </xf>
    <xf numFmtId="1" fontId="5" fillId="3" borderId="12" xfId="0" applyNumberFormat="1" applyFont="1" applyFill="1" applyBorder="1"/>
    <xf numFmtId="15" fontId="16" fillId="0" borderId="13" xfId="0" applyNumberFormat="1" applyFont="1" applyBorder="1" applyAlignment="1">
      <alignment horizontal="center"/>
    </xf>
    <xf numFmtId="0" fontId="18" fillId="0" borderId="0" xfId="0" applyFont="1" applyAlignment="1">
      <alignment horizontal="right"/>
    </xf>
    <xf numFmtId="1" fontId="5" fillId="0" borderId="14" xfId="0" applyNumberFormat="1" applyFont="1" applyBorder="1"/>
    <xf numFmtId="0" fontId="5" fillId="0" borderId="0" xfId="0" applyFont="1" applyAlignment="1">
      <alignment horizontal="right"/>
    </xf>
    <xf numFmtId="0" fontId="19" fillId="4" borderId="5" xfId="0" applyFont="1" applyFill="1" applyBorder="1" applyAlignment="1">
      <alignment horizontal="center"/>
    </xf>
    <xf numFmtId="0" fontId="20" fillId="0" borderId="0" xfId="0" applyFont="1"/>
    <xf numFmtId="0" fontId="21" fillId="0" borderId="15" xfId="0" applyFont="1" applyBorder="1" applyAlignment="1">
      <alignment horizontal="right" vertical="center"/>
    </xf>
    <xf numFmtId="17" fontId="22" fillId="0" borderId="9" xfId="0" applyNumberFormat="1" applyFont="1" applyBorder="1" applyAlignment="1">
      <alignment horizontal="center"/>
    </xf>
    <xf numFmtId="1" fontId="5" fillId="0" borderId="10" xfId="0" applyNumberFormat="1" applyFont="1" applyBorder="1"/>
    <xf numFmtId="0" fontId="22" fillId="0" borderId="13" xfId="0" applyFont="1" applyBorder="1" applyAlignment="1">
      <alignment horizontal="center"/>
    </xf>
    <xf numFmtId="0" fontId="16" fillId="0" borderId="0" xfId="0" applyFont="1"/>
    <xf numFmtId="0" fontId="8" fillId="0" borderId="0" xfId="0" applyFont="1"/>
    <xf numFmtId="0" fontId="23" fillId="0" borderId="0" xfId="0" applyFont="1" applyAlignment="1">
      <alignment horizontal="left"/>
    </xf>
    <xf numFmtId="0" fontId="5" fillId="0" borderId="0" xfId="0" applyFont="1" applyAlignment="1">
      <alignment horizontal="left"/>
    </xf>
    <xf numFmtId="0" fontId="5" fillId="5" borderId="0" xfId="0" applyFont="1" applyFill="1" applyAlignment="1">
      <alignment horizontal="right"/>
    </xf>
    <xf numFmtId="1" fontId="17" fillId="0" borderId="16" xfId="0" applyNumberFormat="1" applyFont="1" applyBorder="1"/>
    <xf numFmtId="0" fontId="23" fillId="0" borderId="0" xfId="0" applyFont="1"/>
    <xf numFmtId="0" fontId="5" fillId="5" borderId="12" xfId="0" applyFont="1" applyFill="1" applyBorder="1" applyAlignment="1">
      <alignment horizontal="right"/>
    </xf>
    <xf numFmtId="0" fontId="5" fillId="5" borderId="17" xfId="0" applyFont="1" applyFill="1" applyBorder="1" applyAlignment="1">
      <alignment horizontal="right"/>
    </xf>
    <xf numFmtId="0" fontId="5" fillId="0" borderId="12" xfId="0" applyFont="1" applyBorder="1"/>
    <xf numFmtId="0" fontId="5" fillId="0" borderId="0" xfId="0" applyFont="1" applyAlignment="1">
      <alignment vertical="top"/>
    </xf>
    <xf numFmtId="1" fontId="5" fillId="0" borderId="0" xfId="0" applyNumberFormat="1" applyFont="1" applyAlignment="1">
      <alignment horizontal="right"/>
    </xf>
    <xf numFmtId="0" fontId="23" fillId="0" borderId="0" xfId="0" applyFont="1" applyAlignment="1">
      <alignment horizontal="right"/>
    </xf>
    <xf numFmtId="0" fontId="5" fillId="5" borderId="12" xfId="0" applyFont="1" applyFill="1" applyBorder="1"/>
    <xf numFmtId="0" fontId="5" fillId="5" borderId="0" xfId="0" applyFont="1" applyFill="1"/>
    <xf numFmtId="0" fontId="5" fillId="5" borderId="17" xfId="0" applyFont="1" applyFill="1" applyBorder="1"/>
    <xf numFmtId="0" fontId="24" fillId="0" borderId="0" xfId="0" applyFont="1" applyAlignment="1">
      <alignment horizontal="center"/>
    </xf>
    <xf numFmtId="15" fontId="25" fillId="0" borderId="0" xfId="0" applyNumberFormat="1" applyFont="1" applyAlignment="1">
      <alignment horizontal="center"/>
    </xf>
    <xf numFmtId="1" fontId="5" fillId="5" borderId="0" xfId="0" applyNumberFormat="1" applyFont="1" applyFill="1"/>
    <xf numFmtId="0" fontId="1" fillId="0" borderId="0" xfId="0" applyFont="1"/>
    <xf numFmtId="15" fontId="11" fillId="0" borderId="0" xfId="2" applyNumberFormat="1" applyFont="1" applyAlignment="1">
      <alignment horizontal="center"/>
    </xf>
    <xf numFmtId="15" fontId="23" fillId="0" borderId="0" xfId="2" applyNumberFormat="1" applyFont="1" applyAlignment="1">
      <alignment horizontal="center"/>
    </xf>
    <xf numFmtId="0" fontId="26" fillId="0" borderId="4" xfId="0" applyFont="1" applyBorder="1" applyAlignment="1">
      <alignment horizontal="center" shrinkToFit="1"/>
    </xf>
    <xf numFmtId="15" fontId="27" fillId="0" borderId="0" xfId="2" applyNumberFormat="1" applyFont="1" applyAlignment="1">
      <alignment horizontal="center"/>
    </xf>
    <xf numFmtId="1" fontId="5" fillId="5" borderId="12" xfId="0" applyNumberFormat="1" applyFont="1" applyFill="1" applyBorder="1"/>
    <xf numFmtId="15" fontId="16" fillId="0" borderId="0" xfId="2" applyNumberFormat="1" applyFont="1" applyAlignment="1">
      <alignment horizontal="center"/>
    </xf>
    <xf numFmtId="1" fontId="17" fillId="0" borderId="18" xfId="0" applyNumberFormat="1" applyFont="1" applyBorder="1"/>
    <xf numFmtId="0" fontId="6" fillId="0" borderId="0" xfId="0" applyFont="1" applyAlignment="1">
      <alignment vertical="top"/>
    </xf>
    <xf numFmtId="0" fontId="28" fillId="0" borderId="0" xfId="0" applyFont="1" applyAlignment="1">
      <alignment vertical="top"/>
    </xf>
    <xf numFmtId="1" fontId="29" fillId="0" borderId="19" xfId="0" applyNumberFormat="1" applyFont="1" applyBorder="1"/>
    <xf numFmtId="1" fontId="21" fillId="0" borderId="11" xfId="0" applyNumberFormat="1" applyFont="1" applyBorder="1"/>
    <xf numFmtId="0" fontId="30" fillId="0" borderId="0" xfId="0" applyFont="1"/>
    <xf numFmtId="0" fontId="31" fillId="0" borderId="0" xfId="0" applyFont="1"/>
    <xf numFmtId="0" fontId="32" fillId="0" borderId="0" xfId="0" applyFont="1"/>
    <xf numFmtId="0" fontId="17" fillId="0" borderId="0" xfId="0" applyFont="1"/>
    <xf numFmtId="0" fontId="34" fillId="0" borderId="0" xfId="0" applyFont="1" applyAlignment="1">
      <alignment horizontal="center"/>
    </xf>
    <xf numFmtId="0" fontId="17" fillId="0" borderId="0" xfId="0" applyFont="1" applyAlignment="1">
      <alignment vertical="center"/>
    </xf>
    <xf numFmtId="1" fontId="24" fillId="0" borderId="0" xfId="0" applyNumberFormat="1" applyFont="1" applyAlignment="1">
      <alignment horizontal="left"/>
    </xf>
    <xf numFmtId="0" fontId="24" fillId="0" borderId="0" xfId="0" applyFont="1" applyAlignment="1">
      <alignment horizontal="left"/>
    </xf>
    <xf numFmtId="0" fontId="9" fillId="0" borderId="0" xfId="0" applyFont="1" applyAlignment="1">
      <alignment horizontal="right"/>
    </xf>
    <xf numFmtId="1" fontId="17" fillId="4" borderId="20" xfId="0" applyNumberFormat="1" applyFont="1" applyFill="1" applyBorder="1"/>
    <xf numFmtId="1" fontId="17" fillId="4" borderId="21" xfId="0" applyNumberFormat="1" applyFont="1" applyFill="1" applyBorder="1"/>
    <xf numFmtId="0" fontId="8" fillId="0" borderId="0" xfId="0" applyFont="1" applyAlignment="1">
      <alignment horizontal="right"/>
    </xf>
    <xf numFmtId="0" fontId="8" fillId="0" borderId="0" xfId="0" applyFont="1" applyAlignment="1">
      <alignment horizontal="center"/>
    </xf>
    <xf numFmtId="0" fontId="16" fillId="0" borderId="16" xfId="0" applyFont="1" applyBorder="1"/>
    <xf numFmtId="0" fontId="16" fillId="0" borderId="11" xfId="0" applyFont="1" applyBorder="1"/>
    <xf numFmtId="0" fontId="5" fillId="0" borderId="0" xfId="0" applyFont="1" applyAlignment="1">
      <alignment horizontal="left" indent="1"/>
    </xf>
    <xf numFmtId="9" fontId="5" fillId="0" borderId="0" xfId="0" applyNumberFormat="1" applyFont="1" applyAlignment="1">
      <alignment horizontal="center"/>
    </xf>
    <xf numFmtId="0" fontId="9" fillId="0" borderId="0" xfId="0" applyFont="1" applyAlignment="1">
      <alignment shrinkToFit="1"/>
    </xf>
    <xf numFmtId="0" fontId="35" fillId="0" borderId="0" xfId="0" applyFont="1" applyAlignment="1">
      <alignment horizontal="right"/>
    </xf>
    <xf numFmtId="9" fontId="16" fillId="0" borderId="0" xfId="0" applyNumberFormat="1" applyFont="1" applyAlignment="1">
      <alignment horizontal="center"/>
    </xf>
    <xf numFmtId="0" fontId="5" fillId="0" borderId="16" xfId="0" applyFont="1" applyBorder="1"/>
    <xf numFmtId="0" fontId="5" fillId="0" borderId="11" xfId="0" applyFont="1" applyBorder="1"/>
    <xf numFmtId="1" fontId="17" fillId="0" borderId="16" xfId="0" applyNumberFormat="1" applyFont="1" applyBorder="1" applyAlignment="1">
      <alignment horizontal="right"/>
    </xf>
    <xf numFmtId="1" fontId="17" fillId="0" borderId="11" xfId="0" applyNumberFormat="1" applyFont="1" applyBorder="1" applyAlignment="1">
      <alignment horizontal="right"/>
    </xf>
    <xf numFmtId="0" fontId="17" fillId="6" borderId="15" xfId="0" applyFont="1" applyFill="1" applyBorder="1"/>
    <xf numFmtId="0" fontId="5" fillId="0" borderId="12" xfId="0" applyFont="1" applyBorder="1" applyAlignment="1">
      <alignment horizontal="right"/>
    </xf>
    <xf numFmtId="1" fontId="5" fillId="0" borderId="16" xfId="0" applyNumberFormat="1" applyFont="1" applyBorder="1" applyAlignment="1">
      <alignment horizontal="right"/>
    </xf>
    <xf numFmtId="1" fontId="5" fillId="0" borderId="11" xfId="0" applyNumberFormat="1" applyFont="1" applyBorder="1" applyAlignment="1">
      <alignment horizontal="right"/>
    </xf>
    <xf numFmtId="9" fontId="10" fillId="0" borderId="0" xfId="0" applyNumberFormat="1" applyFont="1" applyAlignment="1">
      <alignment horizontal="center"/>
    </xf>
    <xf numFmtId="1" fontId="5" fillId="0" borderId="22" xfId="0" applyNumberFormat="1" applyFont="1" applyBorder="1" applyAlignment="1">
      <alignment horizontal="right"/>
    </xf>
    <xf numFmtId="1" fontId="5" fillId="0" borderId="18" xfId="0" applyNumberFormat="1" applyFont="1" applyBorder="1" applyAlignment="1">
      <alignment horizontal="right"/>
    </xf>
    <xf numFmtId="0" fontId="5" fillId="7" borderId="0" xfId="0" applyFont="1" applyFill="1" applyAlignment="1">
      <alignment horizontal="left"/>
    </xf>
    <xf numFmtId="0" fontId="16" fillId="7" borderId="0" xfId="0" applyFont="1" applyFill="1" applyAlignment="1">
      <alignment horizontal="center"/>
    </xf>
    <xf numFmtId="1" fontId="16" fillId="7" borderId="0" xfId="0" applyNumberFormat="1" applyFont="1" applyFill="1" applyAlignment="1">
      <alignment horizontal="left" indent="1"/>
    </xf>
    <xf numFmtId="1" fontId="5" fillId="7" borderId="0" xfId="0" applyNumberFormat="1" applyFont="1" applyFill="1"/>
    <xf numFmtId="0" fontId="24" fillId="0" borderId="0" xfId="0" applyFont="1"/>
    <xf numFmtId="0" fontId="36" fillId="0" borderId="0" xfId="0" applyFont="1" applyAlignment="1">
      <alignment horizontal="left"/>
    </xf>
    <xf numFmtId="0" fontId="27" fillId="0" borderId="0" xfId="0" applyFont="1" applyAlignment="1">
      <alignment horizontal="right"/>
    </xf>
    <xf numFmtId="1" fontId="5" fillId="0" borderId="22" xfId="0" applyNumberFormat="1" applyFont="1" applyBorder="1"/>
    <xf numFmtId="1" fontId="5" fillId="0" borderId="18" xfId="0" applyNumberFormat="1" applyFont="1" applyBorder="1"/>
    <xf numFmtId="1" fontId="34" fillId="7" borderId="15" xfId="0" applyNumberFormat="1" applyFont="1" applyFill="1" applyBorder="1"/>
    <xf numFmtId="1" fontId="11" fillId="7" borderId="0" xfId="0" applyNumberFormat="1" applyFont="1" applyFill="1"/>
    <xf numFmtId="15" fontId="6" fillId="0" borderId="0" xfId="2" applyNumberFormat="1" applyFont="1" applyAlignment="1">
      <alignment horizontal="center"/>
    </xf>
    <xf numFmtId="0" fontId="4" fillId="0" borderId="0" xfId="0" applyFont="1" applyAlignment="1">
      <alignment horizontal="left" shrinkToFit="1"/>
    </xf>
    <xf numFmtId="0" fontId="37" fillId="0" borderId="0" xfId="0" applyFont="1" applyAlignment="1">
      <alignment horizontal="left" shrinkToFit="1"/>
    </xf>
    <xf numFmtId="0" fontId="21" fillId="0" borderId="0" xfId="0" applyFont="1"/>
    <xf numFmtId="1" fontId="38" fillId="0" borderId="0" xfId="0" applyNumberFormat="1" applyFont="1" applyAlignment="1">
      <alignment horizontal="center"/>
    </xf>
    <xf numFmtId="0" fontId="37" fillId="0" borderId="0" xfId="0" applyFont="1" applyAlignment="1">
      <alignment horizontal="left" shrinkToFit="1"/>
    </xf>
    <xf numFmtId="1" fontId="34" fillId="0" borderId="0" xfId="0" applyNumberFormat="1" applyFont="1" applyAlignment="1">
      <alignment horizontal="right"/>
    </xf>
    <xf numFmtId="0" fontId="5" fillId="0" borderId="17" xfId="0" applyFont="1" applyBorder="1"/>
    <xf numFmtId="0" fontId="16" fillId="0" borderId="0" xfId="0" applyFont="1" applyAlignment="1">
      <alignment horizontal="left" indent="11"/>
    </xf>
    <xf numFmtId="1" fontId="9" fillId="0" borderId="23" xfId="0" applyNumberFormat="1" applyFont="1" applyBorder="1" applyAlignment="1">
      <alignment shrinkToFit="1"/>
    </xf>
    <xf numFmtId="0" fontId="17" fillId="0" borderId="24" xfId="0" applyFont="1" applyBorder="1"/>
    <xf numFmtId="0" fontId="5" fillId="0" borderId="24" xfId="0" applyFont="1" applyBorder="1"/>
    <xf numFmtId="0" fontId="40" fillId="0" borderId="24" xfId="0" applyFont="1" applyBorder="1"/>
    <xf numFmtId="0" fontId="24" fillId="0" borderId="24" xfId="0" applyFont="1" applyBorder="1" applyAlignment="1">
      <alignment horizontal="left"/>
    </xf>
    <xf numFmtId="0" fontId="5" fillId="0" borderId="24" xfId="0" applyFont="1" applyBorder="1" applyAlignment="1">
      <alignment horizontal="center"/>
    </xf>
    <xf numFmtId="1" fontId="17" fillId="4" borderId="25" xfId="2" applyNumberFormat="1" applyFont="1" applyFill="1" applyBorder="1"/>
    <xf numFmtId="1" fontId="17" fillId="4" borderId="26" xfId="2" applyNumberFormat="1" applyFont="1" applyFill="1" applyBorder="1"/>
    <xf numFmtId="0" fontId="41" fillId="0" borderId="1" xfId="0" applyFont="1" applyBorder="1" applyAlignment="1">
      <alignment horizontal="center"/>
    </xf>
    <xf numFmtId="0" fontId="41" fillId="0" borderId="2" xfId="0" applyFont="1" applyBorder="1" applyAlignment="1">
      <alignment horizontal="center"/>
    </xf>
    <xf numFmtId="0" fontId="41" fillId="0" borderId="3" xfId="0" applyFont="1" applyBorder="1" applyAlignment="1">
      <alignment horizontal="center"/>
    </xf>
    <xf numFmtId="14" fontId="28" fillId="0" borderId="6" xfId="0" applyNumberFormat="1" applyFont="1" applyBorder="1" applyAlignment="1">
      <alignment horizontal="center" shrinkToFit="1"/>
    </xf>
    <xf numFmtId="0" fontId="28" fillId="0" borderId="7" xfId="0" applyFont="1" applyBorder="1" applyAlignment="1">
      <alignment horizontal="center" shrinkToFit="1"/>
    </xf>
    <xf numFmtId="0" fontId="42" fillId="0" borderId="7" xfId="0" applyFont="1" applyBorder="1"/>
    <xf numFmtId="0" fontId="43" fillId="0" borderId="7" xfId="0" applyFont="1" applyBorder="1" applyAlignment="1">
      <alignment horizontal="center"/>
    </xf>
    <xf numFmtId="0" fontId="44" fillId="0" borderId="7" xfId="0" applyFont="1" applyBorder="1" applyAlignment="1">
      <alignment horizontal="center"/>
    </xf>
    <xf numFmtId="0" fontId="45" fillId="0" borderId="7" xfId="0" applyFont="1" applyBorder="1" applyAlignment="1">
      <alignment horizontal="center"/>
    </xf>
    <xf numFmtId="0" fontId="45" fillId="0" borderId="8" xfId="0" applyFont="1" applyBorder="1" applyAlignment="1">
      <alignment horizontal="center"/>
    </xf>
    <xf numFmtId="0" fontId="21" fillId="0" borderId="15" xfId="0" applyFont="1" applyBorder="1"/>
    <xf numFmtId="14" fontId="9" fillId="0" borderId="0" xfId="0" applyNumberFormat="1" applyFont="1" applyAlignment="1">
      <alignment horizontal="center" shrinkToFit="1"/>
    </xf>
    <xf numFmtId="0" fontId="43" fillId="0" borderId="0" xfId="0" applyFont="1" applyAlignment="1">
      <alignment horizontal="center"/>
    </xf>
    <xf numFmtId="0" fontId="44" fillId="0" borderId="0" xfId="0" applyFont="1" applyAlignment="1">
      <alignment horizontal="center"/>
    </xf>
    <xf numFmtId="0" fontId="45" fillId="0" borderId="0" xfId="0" applyFont="1" applyAlignment="1">
      <alignment horizontal="center"/>
    </xf>
    <xf numFmtId="0" fontId="46" fillId="0" borderId="0" xfId="0" applyFont="1"/>
    <xf numFmtId="14" fontId="9" fillId="8" borderId="1" xfId="0" applyNumberFormat="1" applyFont="1" applyFill="1" applyBorder="1" applyAlignment="1">
      <alignment horizontal="center" shrinkToFit="1"/>
    </xf>
    <xf numFmtId="14" fontId="9" fillId="8" borderId="2" xfId="0" applyNumberFormat="1" applyFont="1" applyFill="1" applyBorder="1" applyAlignment="1">
      <alignment horizontal="center" shrinkToFit="1"/>
    </xf>
    <xf numFmtId="0" fontId="1" fillId="8" borderId="2" xfId="0" applyFont="1" applyFill="1" applyBorder="1"/>
    <xf numFmtId="0" fontId="43" fillId="8" borderId="2" xfId="0" applyFont="1" applyFill="1" applyBorder="1" applyAlignment="1">
      <alignment horizontal="center"/>
    </xf>
    <xf numFmtId="0" fontId="44" fillId="8" borderId="2" xfId="0" applyFont="1" applyFill="1" applyBorder="1" applyAlignment="1">
      <alignment horizontal="center"/>
    </xf>
    <xf numFmtId="0" fontId="46" fillId="8" borderId="2" xfId="0" applyFont="1" applyFill="1" applyBorder="1" applyAlignment="1">
      <alignment horizontal="center"/>
    </xf>
    <xf numFmtId="0" fontId="46" fillId="8" borderId="3" xfId="0" applyFont="1" applyFill="1" applyBorder="1" applyAlignment="1">
      <alignment horizontal="center"/>
    </xf>
    <xf numFmtId="0" fontId="47" fillId="9" borderId="1" xfId="2" applyFont="1" applyFill="1" applyBorder="1" applyAlignment="1">
      <alignment horizontal="center"/>
    </xf>
    <xf numFmtId="0" fontId="47" fillId="9" borderId="3" xfId="2" applyFont="1" applyFill="1" applyBorder="1" applyAlignment="1">
      <alignment horizontal="center"/>
    </xf>
    <xf numFmtId="14" fontId="9" fillId="8" borderId="4" xfId="0" applyNumberFormat="1" applyFont="1" applyFill="1" applyBorder="1" applyAlignment="1">
      <alignment horizontal="center" shrinkToFit="1"/>
    </xf>
    <xf numFmtId="14" fontId="9" fillId="8" borderId="0" xfId="0" applyNumberFormat="1" applyFont="1" applyFill="1" applyAlignment="1">
      <alignment horizontal="center" shrinkToFit="1"/>
    </xf>
    <xf numFmtId="0" fontId="1" fillId="8" borderId="0" xfId="0" applyFont="1" applyFill="1"/>
    <xf numFmtId="0" fontId="43" fillId="8" borderId="0" xfId="0" applyFont="1" applyFill="1" applyAlignment="1">
      <alignment horizontal="center"/>
    </xf>
    <xf numFmtId="0" fontId="44" fillId="8" borderId="0" xfId="0" applyFont="1" applyFill="1" applyAlignment="1">
      <alignment horizontal="center"/>
    </xf>
    <xf numFmtId="0" fontId="1" fillId="8" borderId="0" xfId="0" applyFont="1" applyFill="1" applyAlignment="1">
      <alignment horizontal="left"/>
    </xf>
    <xf numFmtId="1" fontId="1" fillId="8" borderId="11" xfId="0" applyNumberFormat="1" applyFont="1" applyFill="1" applyBorder="1"/>
    <xf numFmtId="0" fontId="1" fillId="9" borderId="4" xfId="2" applyFill="1" applyBorder="1" applyAlignment="1">
      <alignment horizontal="left" indent="1"/>
    </xf>
    <xf numFmtId="0" fontId="1" fillId="9" borderId="11" xfId="2" applyFill="1" applyBorder="1" applyAlignment="1">
      <alignment horizontal="center"/>
    </xf>
    <xf numFmtId="0" fontId="5" fillId="8" borderId="0" xfId="0" applyFont="1" applyFill="1" applyAlignment="1">
      <alignment horizontal="left"/>
    </xf>
    <xf numFmtId="1" fontId="5" fillId="8" borderId="11" xfId="0" applyNumberFormat="1" applyFont="1" applyFill="1" applyBorder="1"/>
    <xf numFmtId="9" fontId="1" fillId="9" borderId="11" xfId="1" applyFont="1" applyFill="1" applyBorder="1" applyAlignment="1">
      <alignment horizontal="center"/>
    </xf>
    <xf numFmtId="0" fontId="5" fillId="8" borderId="17" xfId="0" applyFont="1" applyFill="1" applyBorder="1"/>
    <xf numFmtId="1" fontId="5" fillId="8" borderId="18" xfId="0" applyNumberFormat="1" applyFont="1" applyFill="1" applyBorder="1"/>
    <xf numFmtId="1" fontId="1" fillId="8" borderId="0" xfId="0" applyNumberFormat="1" applyFont="1" applyFill="1"/>
    <xf numFmtId="0" fontId="48" fillId="8" borderId="0" xfId="0" applyFont="1" applyFill="1" applyAlignment="1">
      <alignment horizontal="center"/>
    </xf>
    <xf numFmtId="0" fontId="5" fillId="8" borderId="15" xfId="0" applyFont="1" applyFill="1" applyBorder="1"/>
    <xf numFmtId="0" fontId="9" fillId="8" borderId="15" xfId="0" applyFont="1" applyFill="1" applyBorder="1" applyAlignment="1">
      <alignment horizontal="right"/>
    </xf>
    <xf numFmtId="1" fontId="5" fillId="8" borderId="21" xfId="0" applyNumberFormat="1" applyFont="1" applyFill="1" applyBorder="1"/>
    <xf numFmtId="0" fontId="5" fillId="8" borderId="0" xfId="0" applyFont="1" applyFill="1"/>
    <xf numFmtId="0" fontId="5" fillId="8" borderId="11" xfId="0" applyFont="1" applyFill="1" applyBorder="1"/>
    <xf numFmtId="0" fontId="4" fillId="8" borderId="0" xfId="0" applyFont="1" applyFill="1" applyAlignment="1">
      <alignment horizontal="center"/>
    </xf>
    <xf numFmtId="0" fontId="49" fillId="8" borderId="0" xfId="0" applyFont="1" applyFill="1" applyAlignment="1">
      <alignment horizontal="center"/>
    </xf>
    <xf numFmtId="0" fontId="16" fillId="8" borderId="0" xfId="0" applyFont="1" applyFill="1" applyAlignment="1">
      <alignment horizontal="left"/>
    </xf>
    <xf numFmtId="0" fontId="5" fillId="8" borderId="11" xfId="2" applyFont="1" applyFill="1" applyBorder="1"/>
    <xf numFmtId="0" fontId="5" fillId="8" borderId="18" xfId="0" applyFont="1" applyFill="1" applyBorder="1"/>
    <xf numFmtId="0" fontId="50" fillId="10" borderId="1" xfId="2" applyFont="1" applyFill="1" applyBorder="1" applyAlignment="1">
      <alignment horizontal="center"/>
    </xf>
    <xf numFmtId="0" fontId="50" fillId="10" borderId="3" xfId="2" applyFont="1" applyFill="1" applyBorder="1" applyAlignment="1">
      <alignment horizontal="center"/>
    </xf>
    <xf numFmtId="0" fontId="46" fillId="8" borderId="0" xfId="0" applyFont="1" applyFill="1"/>
    <xf numFmtId="0" fontId="10" fillId="8" borderId="0" xfId="0" applyFont="1" applyFill="1" applyAlignment="1">
      <alignment horizontal="right"/>
    </xf>
    <xf numFmtId="0" fontId="1" fillId="10" borderId="4" xfId="2" applyFill="1" applyBorder="1" applyAlignment="1">
      <alignment horizontal="left" indent="1"/>
    </xf>
    <xf numFmtId="0" fontId="1" fillId="10" borderId="11" xfId="2" applyFill="1" applyBorder="1"/>
    <xf numFmtId="14" fontId="15" fillId="8" borderId="4" xfId="0" applyNumberFormat="1" applyFont="1" applyFill="1" applyBorder="1" applyAlignment="1">
      <alignment horizontal="center" shrinkToFit="1"/>
    </xf>
    <xf numFmtId="1" fontId="51" fillId="8" borderId="0" xfId="0" applyNumberFormat="1" applyFont="1" applyFill="1" applyAlignment="1">
      <alignment horizontal="right"/>
    </xf>
    <xf numFmtId="1" fontId="10" fillId="8" borderId="0" xfId="0" applyNumberFormat="1" applyFont="1" applyFill="1" applyAlignment="1">
      <alignment horizontal="right"/>
    </xf>
    <xf numFmtId="0" fontId="9" fillId="8" borderId="15" xfId="0" applyFont="1" applyFill="1" applyBorder="1" applyAlignment="1">
      <alignment horizontal="left"/>
    </xf>
    <xf numFmtId="0" fontId="52" fillId="8" borderId="21" xfId="0" applyFont="1" applyFill="1" applyBorder="1"/>
    <xf numFmtId="0" fontId="1" fillId="10" borderId="4" xfId="2" applyFill="1" applyBorder="1" applyAlignment="1">
      <alignment horizontal="center"/>
    </xf>
    <xf numFmtId="0" fontId="1" fillId="10" borderId="11" xfId="2" applyFill="1" applyBorder="1" applyAlignment="1">
      <alignment horizontal="center"/>
    </xf>
    <xf numFmtId="0" fontId="9" fillId="8" borderId="0" xfId="0" applyFont="1" applyFill="1" applyAlignment="1">
      <alignment horizontal="left"/>
    </xf>
    <xf numFmtId="1" fontId="3" fillId="8" borderId="27" xfId="0" applyNumberFormat="1" applyFont="1" applyFill="1" applyBorder="1" applyAlignment="1">
      <alignment horizontal="right"/>
    </xf>
    <xf numFmtId="0" fontId="1" fillId="10" borderId="6" xfId="2" applyFill="1" applyBorder="1" applyAlignment="1">
      <alignment horizontal="left" indent="1"/>
    </xf>
    <xf numFmtId="0" fontId="1" fillId="10" borderId="8" xfId="2" applyFill="1" applyBorder="1"/>
    <xf numFmtId="14" fontId="15" fillId="8" borderId="15" xfId="0" applyNumberFormat="1" applyFont="1" applyFill="1" applyBorder="1" applyAlignment="1">
      <alignment horizontal="center" shrinkToFit="1"/>
    </xf>
    <xf numFmtId="1" fontId="53" fillId="8" borderId="15" xfId="0" applyNumberFormat="1" applyFont="1" applyFill="1" applyBorder="1" applyAlignment="1">
      <alignment horizontal="right"/>
    </xf>
    <xf numFmtId="1" fontId="54" fillId="8" borderId="15" xfId="0" applyNumberFormat="1" applyFont="1" applyFill="1" applyBorder="1" applyAlignment="1">
      <alignment horizontal="right"/>
    </xf>
    <xf numFmtId="1" fontId="10" fillId="8" borderId="0" xfId="0" applyNumberFormat="1" applyFont="1" applyFill="1" applyAlignment="1">
      <alignment horizontal="center"/>
    </xf>
    <xf numFmtId="1" fontId="0" fillId="0" borderId="0" xfId="0" applyNumberFormat="1" applyAlignment="1">
      <alignment horizontal="center"/>
    </xf>
    <xf numFmtId="1" fontId="0" fillId="0" borderId="0" xfId="0" applyNumberFormat="1" applyAlignment="1">
      <alignment horizontal="left"/>
    </xf>
    <xf numFmtId="1" fontId="51" fillId="8" borderId="0" xfId="0" applyNumberFormat="1" applyFont="1" applyFill="1" applyAlignment="1">
      <alignment horizontal="center"/>
    </xf>
    <xf numFmtId="0" fontId="55" fillId="8" borderId="0" xfId="0" applyFont="1" applyFill="1" applyAlignment="1">
      <alignment horizontal="left"/>
    </xf>
    <xf numFmtId="0" fontId="5" fillId="8" borderId="11" xfId="0" applyFont="1" applyFill="1" applyBorder="1" applyAlignment="1">
      <alignment horizontal="right"/>
    </xf>
    <xf numFmtId="0" fontId="1" fillId="0" borderId="0" xfId="2" applyAlignment="1">
      <alignment horizontal="center"/>
    </xf>
    <xf numFmtId="14" fontId="9" fillId="8" borderId="6" xfId="0" applyNumberFormat="1" applyFont="1" applyFill="1" applyBorder="1" applyAlignment="1">
      <alignment horizontal="center" shrinkToFit="1"/>
    </xf>
    <xf numFmtId="14" fontId="9" fillId="8" borderId="7" xfId="0" applyNumberFormat="1" applyFont="1" applyFill="1" applyBorder="1" applyAlignment="1">
      <alignment horizontal="center" shrinkToFit="1"/>
    </xf>
    <xf numFmtId="1" fontId="51" fillId="8" borderId="7" xfId="0" applyNumberFormat="1" applyFont="1" applyFill="1" applyBorder="1" applyAlignment="1">
      <alignment horizontal="center"/>
    </xf>
    <xf numFmtId="0" fontId="43" fillId="8" borderId="7" xfId="0" applyFont="1" applyFill="1" applyBorder="1" applyAlignment="1">
      <alignment horizontal="center"/>
    </xf>
    <xf numFmtId="1" fontId="56" fillId="8" borderId="7" xfId="0" applyNumberFormat="1" applyFont="1" applyFill="1" applyBorder="1" applyAlignment="1">
      <alignment horizontal="center"/>
    </xf>
    <xf numFmtId="0" fontId="46" fillId="8" borderId="7" xfId="0" applyFont="1" applyFill="1" applyBorder="1"/>
    <xf numFmtId="0" fontId="57" fillId="8" borderId="7" xfId="0" applyFont="1" applyFill="1" applyBorder="1" applyAlignment="1">
      <alignment horizontal="left"/>
    </xf>
    <xf numFmtId="1" fontId="52" fillId="8" borderId="8" xfId="0" applyNumberFormat="1" applyFont="1" applyFill="1" applyBorder="1"/>
    <xf numFmtId="1" fontId="51" fillId="0" borderId="0" xfId="0" applyNumberFormat="1" applyFont="1" applyAlignment="1">
      <alignment horizontal="center"/>
    </xf>
    <xf numFmtId="1" fontId="10" fillId="0" borderId="0" xfId="0" applyNumberFormat="1" applyFont="1" applyAlignment="1">
      <alignment horizontal="center"/>
    </xf>
    <xf numFmtId="0" fontId="9" fillId="0" borderId="0" xfId="0" applyFont="1" applyAlignment="1">
      <alignment horizontal="left"/>
    </xf>
    <xf numFmtId="0" fontId="9" fillId="8" borderId="1" xfId="0" applyFont="1" applyFill="1" applyBorder="1" applyAlignment="1">
      <alignment shrinkToFit="1"/>
    </xf>
    <xf numFmtId="0" fontId="58" fillId="8" borderId="2" xfId="2" applyFont="1" applyFill="1" applyBorder="1"/>
    <xf numFmtId="0" fontId="29" fillId="8" borderId="2" xfId="2" applyFont="1" applyFill="1" applyBorder="1"/>
    <xf numFmtId="0" fontId="12" fillId="8" borderId="2" xfId="2" applyFont="1" applyFill="1" applyBorder="1"/>
    <xf numFmtId="1" fontId="17" fillId="8" borderId="2" xfId="2" applyNumberFormat="1" applyFont="1" applyFill="1" applyBorder="1"/>
    <xf numFmtId="0" fontId="45" fillId="8" borderId="2" xfId="0" applyFont="1" applyFill="1" applyBorder="1" applyAlignment="1">
      <alignment horizontal="center"/>
    </xf>
    <xf numFmtId="0" fontId="16" fillId="8" borderId="2" xfId="0" applyFont="1" applyFill="1" applyBorder="1"/>
    <xf numFmtId="0" fontId="1" fillId="8" borderId="3" xfId="2" applyFill="1" applyBorder="1" applyAlignment="1">
      <alignment horizontal="center"/>
    </xf>
    <xf numFmtId="0" fontId="9" fillId="8" borderId="4" xfId="0" applyFont="1" applyFill="1" applyBorder="1" applyAlignment="1">
      <alignment shrinkToFit="1"/>
    </xf>
    <xf numFmtId="0" fontId="61" fillId="8" borderId="0" xfId="2" applyFont="1" applyFill="1"/>
    <xf numFmtId="0" fontId="1" fillId="8" borderId="0" xfId="2" applyFill="1"/>
    <xf numFmtId="0" fontId="6" fillId="8" borderId="0" xfId="2" applyFont="1" applyFill="1"/>
    <xf numFmtId="2" fontId="62" fillId="8" borderId="0" xfId="2" applyNumberFormat="1" applyFont="1" applyFill="1"/>
    <xf numFmtId="0" fontId="45" fillId="8" borderId="0" xfId="0" applyFont="1" applyFill="1" applyAlignment="1">
      <alignment horizontal="center"/>
    </xf>
    <xf numFmtId="9" fontId="5" fillId="8" borderId="0" xfId="0" applyNumberFormat="1" applyFont="1" applyFill="1"/>
    <xf numFmtId="0" fontId="46" fillId="8" borderId="11" xfId="0" applyFont="1" applyFill="1" applyBorder="1"/>
    <xf numFmtId="0" fontId="63" fillId="0" borderId="0" xfId="0" applyFont="1" applyAlignment="1">
      <alignment horizontal="center"/>
    </xf>
    <xf numFmtId="0" fontId="23" fillId="8" borderId="0" xfId="2" applyFont="1" applyFill="1"/>
    <xf numFmtId="10" fontId="11" fillId="8" borderId="0" xfId="2" applyNumberFormat="1" applyFont="1" applyFill="1" applyAlignment="1">
      <alignment horizontal="center"/>
    </xf>
    <xf numFmtId="1" fontId="5" fillId="8" borderId="0" xfId="0" applyNumberFormat="1" applyFont="1" applyFill="1"/>
    <xf numFmtId="1" fontId="1" fillId="8" borderId="0" xfId="2" applyNumberFormat="1" applyFill="1"/>
    <xf numFmtId="1" fontId="10" fillId="8" borderId="0" xfId="0" applyNumberFormat="1" applyFont="1" applyFill="1"/>
    <xf numFmtId="0" fontId="64" fillId="8" borderId="0" xfId="0" applyFont="1" applyFill="1" applyAlignment="1">
      <alignment horizontal="center"/>
    </xf>
    <xf numFmtId="0" fontId="63" fillId="0" borderId="5" xfId="0" applyFont="1" applyBorder="1" applyAlignment="1">
      <alignment horizontal="center"/>
    </xf>
    <xf numFmtId="1" fontId="5" fillId="8" borderId="15" xfId="0" applyNumberFormat="1" applyFont="1" applyFill="1" applyBorder="1"/>
    <xf numFmtId="1" fontId="1" fillId="8" borderId="15" xfId="2" applyNumberFormat="1" applyFill="1" applyBorder="1"/>
    <xf numFmtId="0" fontId="63" fillId="0" borderId="13" xfId="0" applyFont="1" applyBorder="1" applyAlignment="1">
      <alignment horizontal="center"/>
    </xf>
    <xf numFmtId="1" fontId="10" fillId="8" borderId="0" xfId="2" applyNumberFormat="1" applyFont="1" applyFill="1"/>
    <xf numFmtId="0" fontId="23" fillId="8" borderId="0" xfId="2" applyFont="1" applyFill="1" applyAlignment="1">
      <alignment horizontal="center" vertical="center"/>
    </xf>
    <xf numFmtId="0" fontId="1" fillId="8" borderId="0" xfId="2" applyFill="1" applyAlignment="1">
      <alignment horizontal="center" vertical="center"/>
    </xf>
    <xf numFmtId="1" fontId="28" fillId="8" borderId="0" xfId="2" applyNumberFormat="1" applyFont="1" applyFill="1" applyAlignment="1">
      <alignment horizontal="center" vertical="center" wrapText="1"/>
    </xf>
    <xf numFmtId="1" fontId="1" fillId="8" borderId="0" xfId="2" applyNumberFormat="1" applyFill="1" applyAlignment="1">
      <alignment horizontal="center" vertical="center"/>
    </xf>
    <xf numFmtId="2" fontId="65" fillId="8" borderId="0" xfId="2" applyNumberFormat="1" applyFont="1" applyFill="1" applyAlignment="1">
      <alignment horizontal="center"/>
    </xf>
    <xf numFmtId="0" fontId="65" fillId="8" borderId="11" xfId="0" applyFont="1" applyFill="1" applyBorder="1" applyAlignment="1">
      <alignment horizontal="center"/>
    </xf>
    <xf numFmtId="0" fontId="5" fillId="0" borderId="15" xfId="0" applyFont="1" applyBorder="1"/>
    <xf numFmtId="9" fontId="9" fillId="8" borderId="4" xfId="0" applyNumberFormat="1" applyFont="1" applyFill="1" applyBorder="1" applyAlignment="1">
      <alignment horizontal="center" shrinkToFit="1"/>
    </xf>
    <xf numFmtId="164" fontId="1" fillId="8" borderId="0" xfId="2" applyNumberFormat="1" applyFill="1" applyAlignment="1">
      <alignment horizontal="center"/>
    </xf>
    <xf numFmtId="1" fontId="1" fillId="8" borderId="0" xfId="2" applyNumberFormat="1" applyFill="1" applyAlignment="1">
      <alignment horizontal="center"/>
    </xf>
    <xf numFmtId="0" fontId="65" fillId="8" borderId="0" xfId="0" applyFont="1" applyFill="1"/>
    <xf numFmtId="1" fontId="65" fillId="8" borderId="11" xfId="0" applyNumberFormat="1" applyFont="1" applyFill="1" applyBorder="1" applyAlignment="1">
      <alignment horizontal="center"/>
    </xf>
    <xf numFmtId="164" fontId="66" fillId="8" borderId="0" xfId="2" applyNumberFormat="1" applyFont="1" applyFill="1" applyAlignment="1">
      <alignment horizontal="left"/>
    </xf>
    <xf numFmtId="0" fontId="9" fillId="8" borderId="4" xfId="0" applyFont="1" applyFill="1" applyBorder="1" applyAlignment="1">
      <alignment horizontal="center" shrinkToFit="1"/>
    </xf>
    <xf numFmtId="2" fontId="1" fillId="8" borderId="0" xfId="2" applyNumberFormat="1" applyFill="1"/>
    <xf numFmtId="2" fontId="1" fillId="8" borderId="0" xfId="2" applyNumberFormat="1" applyFill="1" applyAlignment="1">
      <alignment horizontal="center"/>
    </xf>
    <xf numFmtId="10" fontId="29" fillId="8" borderId="11" xfId="3" applyNumberFormat="1" applyFont="1" applyFill="1" applyBorder="1" applyAlignment="1">
      <alignment horizontal="center"/>
    </xf>
    <xf numFmtId="0" fontId="5" fillId="8" borderId="0" xfId="0" applyFont="1" applyFill="1" applyAlignment="1">
      <alignment horizontal="center"/>
    </xf>
    <xf numFmtId="1" fontId="29" fillId="8" borderId="15" xfId="2" applyNumberFormat="1" applyFont="1" applyFill="1" applyBorder="1"/>
    <xf numFmtId="1" fontId="29" fillId="8" borderId="15" xfId="2" applyNumberFormat="1" applyFont="1" applyFill="1" applyBorder="1" applyAlignment="1">
      <alignment horizontal="center"/>
    </xf>
    <xf numFmtId="0" fontId="9" fillId="8" borderId="6" xfId="0" applyFont="1" applyFill="1" applyBorder="1" applyAlignment="1">
      <alignment shrinkToFit="1"/>
    </xf>
    <xf numFmtId="0" fontId="1" fillId="8" borderId="7" xfId="2" applyFill="1" applyBorder="1"/>
    <xf numFmtId="1" fontId="29" fillId="8" borderId="7" xfId="2" applyNumberFormat="1" applyFont="1" applyFill="1" applyBorder="1"/>
    <xf numFmtId="0" fontId="5" fillId="8" borderId="7" xfId="0" applyFont="1" applyFill="1" applyBorder="1"/>
    <xf numFmtId="0" fontId="5" fillId="8" borderId="7" xfId="0" applyFont="1" applyFill="1" applyBorder="1" applyAlignment="1">
      <alignment horizontal="center"/>
    </xf>
    <xf numFmtId="0" fontId="5" fillId="8" borderId="8" xfId="0" applyFont="1" applyFill="1" applyBorder="1"/>
    <xf numFmtId="2" fontId="29" fillId="8" borderId="0" xfId="2" applyNumberFormat="1" applyFont="1" applyFill="1"/>
    <xf numFmtId="0" fontId="1" fillId="8" borderId="0" xfId="2" applyFill="1" applyAlignment="1">
      <alignment horizontal="center"/>
    </xf>
    <xf numFmtId="17" fontId="1" fillId="8" borderId="0" xfId="2" applyNumberFormat="1" applyFill="1" applyAlignment="1">
      <alignment horizontal="center"/>
    </xf>
    <xf numFmtId="0" fontId="23" fillId="8" borderId="0" xfId="2" applyFont="1" applyFill="1" applyAlignment="1">
      <alignment horizontal="left" indent="1"/>
    </xf>
    <xf numFmtId="9" fontId="6" fillId="8" borderId="0" xfId="2" applyNumberFormat="1" applyFont="1" applyFill="1" applyAlignment="1">
      <alignment horizontal="center"/>
    </xf>
    <xf numFmtId="0" fontId="67" fillId="8" borderId="0" xfId="2" applyFont="1" applyFill="1" applyAlignment="1">
      <alignment horizontal="left"/>
    </xf>
    <xf numFmtId="2" fontId="10" fillId="8" borderId="0" xfId="2" applyNumberFormat="1" applyFont="1" applyFill="1" applyAlignment="1">
      <alignment horizontal="center"/>
    </xf>
    <xf numFmtId="0" fontId="10" fillId="8" borderId="11" xfId="0" applyFont="1" applyFill="1" applyBorder="1" applyAlignment="1">
      <alignment horizontal="center"/>
    </xf>
    <xf numFmtId="1" fontId="5" fillId="8" borderId="0" xfId="0" applyNumberFormat="1" applyFont="1" applyFill="1" applyAlignment="1">
      <alignment horizontal="center"/>
    </xf>
    <xf numFmtId="0" fontId="10" fillId="8" borderId="0" xfId="0" applyFont="1" applyFill="1"/>
    <xf numFmtId="1" fontId="10" fillId="8" borderId="11" xfId="0" applyNumberFormat="1" applyFont="1" applyFill="1" applyBorder="1" applyAlignment="1">
      <alignment horizontal="center"/>
    </xf>
    <xf numFmtId="164" fontId="59" fillId="8" borderId="0" xfId="2" applyNumberFormat="1" applyFont="1" applyFill="1" applyAlignment="1">
      <alignment horizontal="center"/>
    </xf>
    <xf numFmtId="1" fontId="67" fillId="8" borderId="0" xfId="2" applyNumberFormat="1" applyFont="1" applyFill="1" applyAlignment="1">
      <alignment horizontal="left"/>
    </xf>
    <xf numFmtId="0" fontId="9" fillId="8" borderId="0" xfId="0" applyFont="1" applyFill="1"/>
    <xf numFmtId="2" fontId="29" fillId="8" borderId="0" xfId="2" applyNumberFormat="1" applyFont="1" applyFill="1" applyAlignment="1">
      <alignment horizontal="center"/>
    </xf>
    <xf numFmtId="1" fontId="67" fillId="8" borderId="0" xfId="2" applyNumberFormat="1" applyFont="1" applyFill="1" applyAlignment="1">
      <alignment horizontal="right"/>
    </xf>
    <xf numFmtId="1" fontId="1" fillId="8" borderId="0" xfId="2" applyNumberFormat="1" applyFill="1" applyAlignment="1">
      <alignment horizontal="right"/>
    </xf>
    <xf numFmtId="0" fontId="23" fillId="8" borderId="7" xfId="2" applyFont="1" applyFill="1" applyBorder="1"/>
    <xf numFmtId="1" fontId="1" fillId="8" borderId="7" xfId="2" applyNumberFormat="1" applyFill="1" applyBorder="1" applyAlignment="1">
      <alignment horizontal="right"/>
    </xf>
    <xf numFmtId="1" fontId="1" fillId="8" borderId="7" xfId="2" applyNumberFormat="1" applyFill="1" applyBorder="1"/>
    <xf numFmtId="2" fontId="29" fillId="8" borderId="7" xfId="2" applyNumberFormat="1" applyFont="1" applyFill="1" applyBorder="1" applyAlignment="1">
      <alignment horizontal="center"/>
    </xf>
    <xf numFmtId="14" fontId="1" fillId="8" borderId="7" xfId="2" applyNumberFormat="1" applyFill="1" applyBorder="1" applyAlignment="1">
      <alignment horizontal="center"/>
    </xf>
    <xf numFmtId="14" fontId="1" fillId="8" borderId="0" xfId="2" applyNumberFormat="1" applyFill="1" applyAlignment="1">
      <alignment horizontal="center"/>
    </xf>
    <xf numFmtId="2" fontId="68" fillId="8" borderId="0" xfId="2" applyNumberFormat="1" applyFont="1" applyFill="1" applyAlignment="1">
      <alignment horizontal="center"/>
    </xf>
    <xf numFmtId="0" fontId="68" fillId="8" borderId="11" xfId="0" applyFont="1" applyFill="1" applyBorder="1" applyAlignment="1">
      <alignment horizontal="center"/>
    </xf>
    <xf numFmtId="0" fontId="68" fillId="8" borderId="0" xfId="0" applyFont="1" applyFill="1"/>
    <xf numFmtId="1" fontId="68" fillId="8" borderId="11" xfId="0" applyNumberFormat="1" applyFont="1" applyFill="1" applyBorder="1" applyAlignment="1">
      <alignment horizontal="center"/>
    </xf>
    <xf numFmtId="1" fontId="69" fillId="8" borderId="0" xfId="0" applyNumberFormat="1" applyFont="1" applyFill="1" applyAlignment="1">
      <alignment horizontal="left"/>
    </xf>
    <xf numFmtId="1" fontId="64" fillId="8" borderId="0" xfId="0" applyNumberFormat="1" applyFont="1" applyFill="1" applyAlignment="1">
      <alignment horizontal="left"/>
    </xf>
    <xf numFmtId="17" fontId="1" fillId="8" borderId="0" xfId="2" applyNumberFormat="1" applyFill="1"/>
    <xf numFmtId="0" fontId="16" fillId="8" borderId="0" xfId="0" applyFont="1" applyFill="1"/>
    <xf numFmtId="0" fontId="18" fillId="8" borderId="0" xfId="2" applyFont="1" applyFill="1" applyAlignment="1">
      <alignment vertical="center"/>
    </xf>
    <xf numFmtId="0" fontId="20" fillId="8" borderId="11" xfId="0" applyFont="1" applyFill="1" applyBorder="1"/>
    <xf numFmtId="0" fontId="16" fillId="8" borderId="7" xfId="0" applyFont="1" applyFill="1" applyBorder="1"/>
    <xf numFmtId="0" fontId="18" fillId="8" borderId="7" xfId="2" applyFont="1" applyFill="1" applyBorder="1" applyAlignment="1">
      <alignment vertical="center"/>
    </xf>
    <xf numFmtId="0" fontId="20" fillId="8" borderId="8" xfId="0" applyFont="1" applyFill="1" applyBorder="1"/>
    <xf numFmtId="0" fontId="70" fillId="0" borderId="1" xfId="2" applyFont="1" applyBorder="1"/>
    <xf numFmtId="0" fontId="16" fillId="0" borderId="2" xfId="0" applyFont="1" applyBorder="1"/>
    <xf numFmtId="0" fontId="71" fillId="0" borderId="2" xfId="0" applyFont="1" applyBorder="1" applyAlignment="1">
      <alignment horizontal="center"/>
    </xf>
    <xf numFmtId="0" fontId="71" fillId="0" borderId="3" xfId="0" applyFont="1" applyBorder="1" applyAlignment="1">
      <alignment horizontal="center"/>
    </xf>
    <xf numFmtId="0" fontId="16" fillId="0" borderId="0" xfId="0" applyFont="1" applyAlignment="1">
      <alignment horizontal="center"/>
    </xf>
    <xf numFmtId="0" fontId="72" fillId="0" borderId="0" xfId="0" applyFont="1"/>
    <xf numFmtId="0" fontId="10" fillId="0" borderId="4" xfId="2" applyFont="1" applyBorder="1"/>
    <xf numFmtId="0" fontId="21" fillId="0" borderId="0" xfId="2" applyFont="1"/>
    <xf numFmtId="0" fontId="73" fillId="0" borderId="4" xfId="0" applyFont="1" applyBorder="1" applyAlignment="1">
      <alignment horizontal="center" vertical="center"/>
    </xf>
    <xf numFmtId="0" fontId="75" fillId="0" borderId="0" xfId="0" applyFont="1" applyAlignment="1">
      <alignment horizontal="left" vertical="top" wrapText="1"/>
    </xf>
    <xf numFmtId="0" fontId="75" fillId="0" borderId="11" xfId="0" applyFont="1" applyBorder="1" applyAlignment="1">
      <alignment horizontal="left" vertical="top" wrapText="1"/>
    </xf>
    <xf numFmtId="0" fontId="18" fillId="0" borderId="0" xfId="2" applyFont="1" applyAlignment="1">
      <alignment horizontal="left" vertical="center"/>
    </xf>
    <xf numFmtId="0" fontId="16" fillId="0" borderId="4" xfId="0" applyFont="1" applyBorder="1" applyAlignment="1">
      <alignment shrinkToFit="1"/>
    </xf>
    <xf numFmtId="0" fontId="76" fillId="0" borderId="0" xfId="0" applyFont="1" applyAlignment="1">
      <alignment horizontal="left" vertical="top" wrapText="1"/>
    </xf>
    <xf numFmtId="0" fontId="76" fillId="0" borderId="11" xfId="0" applyFont="1" applyBorder="1" applyAlignment="1">
      <alignment horizontal="left" vertical="top" wrapText="1"/>
    </xf>
    <xf numFmtId="0" fontId="16" fillId="0" borderId="6" xfId="0" applyFont="1" applyBorder="1" applyAlignment="1">
      <alignment shrinkToFit="1"/>
    </xf>
    <xf numFmtId="0" fontId="75" fillId="0" borderId="7" xfId="0" applyFont="1" applyBorder="1" applyAlignment="1">
      <alignment horizontal="left" vertical="top" wrapText="1"/>
    </xf>
    <xf numFmtId="0" fontId="16" fillId="0" borderId="8" xfId="0" applyFont="1" applyBorder="1"/>
    <xf numFmtId="0" fontId="16" fillId="0" borderId="0" xfId="0" applyFont="1" applyAlignment="1">
      <alignment shrinkToFit="1"/>
    </xf>
    <xf numFmtId="0" fontId="75" fillId="0" borderId="0" xfId="0" applyFont="1" applyAlignment="1">
      <alignment horizontal="left" vertical="top" wrapText="1"/>
    </xf>
    <xf numFmtId="0" fontId="75" fillId="0" borderId="2" xfId="0" applyFont="1" applyBorder="1" applyAlignment="1">
      <alignment horizontal="left" vertical="top" wrapText="1"/>
    </xf>
    <xf numFmtId="0" fontId="78" fillId="0" borderId="2" xfId="0" applyFont="1" applyBorder="1" applyAlignment="1">
      <alignment horizontal="center"/>
    </xf>
    <xf numFmtId="0" fontId="78" fillId="0" borderId="3" xfId="0" applyFont="1" applyBorder="1" applyAlignment="1">
      <alignment horizontal="center"/>
    </xf>
    <xf numFmtId="0" fontId="5" fillId="0" borderId="0" xfId="2" applyFont="1"/>
    <xf numFmtId="0" fontId="79" fillId="0" borderId="0" xfId="2" applyFont="1"/>
    <xf numFmtId="0" fontId="5" fillId="0" borderId="0" xfId="2" applyFont="1" applyAlignment="1">
      <alignment horizontal="right"/>
    </xf>
    <xf numFmtId="0" fontId="16" fillId="0" borderId="0" xfId="2" applyFont="1"/>
    <xf numFmtId="0" fontId="9" fillId="0" borderId="0" xfId="2" applyFont="1"/>
    <xf numFmtId="0" fontId="9" fillId="0" borderId="6" xfId="0" applyFont="1" applyBorder="1" applyAlignment="1">
      <alignment shrinkToFit="1"/>
    </xf>
    <xf numFmtId="0" fontId="16" fillId="0" borderId="7" xfId="2" applyFont="1" applyBorder="1"/>
    <xf numFmtId="0" fontId="5" fillId="0" borderId="7" xfId="0" applyFont="1" applyBorder="1"/>
    <xf numFmtId="0" fontId="5" fillId="0" borderId="8" xfId="0" applyFont="1" applyBorder="1"/>
    <xf numFmtId="0" fontId="71" fillId="0" borderId="1" xfId="2" applyFont="1" applyBorder="1"/>
    <xf numFmtId="0" fontId="23" fillId="0" borderId="2" xfId="2" applyFont="1" applyBorder="1" applyAlignment="1">
      <alignment horizontal="center"/>
    </xf>
    <xf numFmtId="0" fontId="1" fillId="0" borderId="2" xfId="2" applyBorder="1" applyAlignment="1">
      <alignment horizontal="center"/>
    </xf>
    <xf numFmtId="0" fontId="34" fillId="0" borderId="2" xfId="2" applyFont="1" applyBorder="1"/>
    <xf numFmtId="0" fontId="5" fillId="0" borderId="2" xfId="0" applyFont="1" applyBorder="1"/>
    <xf numFmtId="0" fontId="5" fillId="0" borderId="3" xfId="0" applyFont="1" applyBorder="1"/>
    <xf numFmtId="0" fontId="5" fillId="0" borderId="4" xfId="2" applyFont="1" applyBorder="1" applyAlignment="1">
      <alignment horizontal="left" indent="1"/>
    </xf>
    <xf numFmtId="0" fontId="1" fillId="0" borderId="0" xfId="2"/>
    <xf numFmtId="0" fontId="5" fillId="0" borderId="0" xfId="2" applyFont="1" applyAlignment="1">
      <alignment horizontal="left" indent="1"/>
    </xf>
    <xf numFmtId="0" fontId="1" fillId="0" borderId="0" xfId="2" applyAlignment="1">
      <alignment horizontal="right"/>
    </xf>
    <xf numFmtId="0" fontId="71" fillId="0" borderId="4" xfId="2" applyFont="1" applyBorder="1"/>
    <xf numFmtId="0" fontId="8" fillId="0" borderId="0" xfId="2" applyFont="1" applyAlignment="1">
      <alignment horizontal="left"/>
    </xf>
    <xf numFmtId="0" fontId="1" fillId="0" borderId="0" xfId="2" applyAlignment="1">
      <alignment horizontal="left" indent="1"/>
    </xf>
    <xf numFmtId="0" fontId="71" fillId="0" borderId="6" xfId="2" applyFont="1" applyBorder="1"/>
    <xf numFmtId="0" fontId="80" fillId="0" borderId="7" xfId="2" applyFont="1" applyBorder="1"/>
    <xf numFmtId="0" fontId="1" fillId="0" borderId="7" xfId="2" applyBorder="1" applyAlignment="1">
      <alignment horizontal="right"/>
    </xf>
    <xf numFmtId="0" fontId="17" fillId="0" borderId="0" xfId="2" applyFont="1"/>
    <xf numFmtId="0" fontId="9" fillId="11" borderId="0" xfId="0" applyFont="1" applyFill="1" applyAlignment="1">
      <alignment shrinkToFit="1"/>
    </xf>
    <xf numFmtId="0" fontId="58" fillId="11" borderId="0" xfId="2" applyFont="1" applyFill="1"/>
    <xf numFmtId="0" fontId="29" fillId="11" borderId="0" xfId="2" applyFont="1" applyFill="1"/>
    <xf numFmtId="0" fontId="12" fillId="11" borderId="0" xfId="2" applyFont="1" applyFill="1"/>
    <xf numFmtId="1" fontId="17" fillId="11" borderId="0" xfId="2" applyNumberFormat="1" applyFont="1" applyFill="1"/>
    <xf numFmtId="0" fontId="5" fillId="11" borderId="0" xfId="0" applyFont="1" applyFill="1"/>
    <xf numFmtId="0" fontId="61" fillId="11" borderId="0" xfId="2" applyFont="1" applyFill="1"/>
    <xf numFmtId="0" fontId="1" fillId="11" borderId="0" xfId="2" applyFill="1"/>
    <xf numFmtId="0" fontId="6" fillId="11" borderId="0" xfId="2" applyFont="1" applyFill="1"/>
    <xf numFmtId="2" fontId="62" fillId="11" borderId="0" xfId="2" applyNumberFormat="1" applyFont="1" applyFill="1"/>
    <xf numFmtId="0" fontId="23" fillId="11" borderId="0" xfId="2" applyFont="1" applyFill="1"/>
    <xf numFmtId="1" fontId="5" fillId="11" borderId="0" xfId="0" applyNumberFormat="1" applyFont="1" applyFill="1"/>
    <xf numFmtId="1" fontId="1" fillId="11" borderId="0" xfId="2" applyNumberFormat="1" applyFill="1"/>
    <xf numFmtId="1" fontId="5" fillId="11" borderId="15" xfId="0" applyNumberFormat="1" applyFont="1" applyFill="1" applyBorder="1"/>
    <xf numFmtId="1" fontId="1" fillId="11" borderId="15" xfId="2" applyNumberFormat="1" applyFill="1" applyBorder="1"/>
    <xf numFmtId="2" fontId="1" fillId="11" borderId="0" xfId="2" applyNumberFormat="1" applyFill="1"/>
    <xf numFmtId="2" fontId="1" fillId="11" borderId="0" xfId="2" applyNumberFormat="1" applyFill="1" applyAlignment="1">
      <alignment horizontal="center"/>
    </xf>
    <xf numFmtId="10" fontId="29" fillId="11" borderId="0" xfId="3" applyNumberFormat="1" applyFont="1" applyFill="1" applyBorder="1" applyAlignment="1">
      <alignment horizontal="center"/>
    </xf>
    <xf numFmtId="1" fontId="10" fillId="11" borderId="0" xfId="2" applyNumberFormat="1" applyFont="1" applyFill="1"/>
    <xf numFmtId="0" fontId="5" fillId="11" borderId="0" xfId="0" applyFont="1" applyFill="1" applyAlignment="1">
      <alignment horizontal="center"/>
    </xf>
    <xf numFmtId="0" fontId="23" fillId="11" borderId="0" xfId="2" applyFont="1" applyFill="1" applyAlignment="1">
      <alignment horizontal="center" vertical="center"/>
    </xf>
    <xf numFmtId="0" fontId="1" fillId="11" borderId="0" xfId="2" applyFill="1" applyAlignment="1">
      <alignment horizontal="center" vertical="center"/>
    </xf>
    <xf numFmtId="1" fontId="28" fillId="11" borderId="0" xfId="2" applyNumberFormat="1" applyFont="1" applyFill="1" applyAlignment="1">
      <alignment horizontal="center" vertical="center" wrapText="1"/>
    </xf>
    <xf numFmtId="1" fontId="1" fillId="11" borderId="0" xfId="2" applyNumberFormat="1" applyFill="1" applyAlignment="1">
      <alignment horizontal="center" vertical="center"/>
    </xf>
    <xf numFmtId="2" fontId="65" fillId="11" borderId="0" xfId="2" applyNumberFormat="1" applyFont="1" applyFill="1" applyAlignment="1">
      <alignment horizontal="center"/>
    </xf>
    <xf numFmtId="0" fontId="65" fillId="11" borderId="0" xfId="0" applyFont="1" applyFill="1" applyAlignment="1">
      <alignment horizontal="center"/>
    </xf>
    <xf numFmtId="9" fontId="9" fillId="11" borderId="0" xfId="0" applyNumberFormat="1" applyFont="1" applyFill="1" applyAlignment="1">
      <alignment shrinkToFit="1"/>
    </xf>
    <xf numFmtId="164" fontId="1" fillId="11" borderId="0" xfId="2" applyNumberFormat="1" applyFill="1" applyAlignment="1">
      <alignment horizontal="center"/>
    </xf>
    <xf numFmtId="1" fontId="1" fillId="11" borderId="0" xfId="2" applyNumberFormat="1" applyFill="1" applyAlignment="1">
      <alignment horizontal="center"/>
    </xf>
    <xf numFmtId="0" fontId="65" fillId="11" borderId="0" xfId="0" applyFont="1" applyFill="1"/>
    <xf numFmtId="1" fontId="65" fillId="11" borderId="0" xfId="0" applyNumberFormat="1" applyFont="1" applyFill="1" applyAlignment="1">
      <alignment horizontal="center"/>
    </xf>
    <xf numFmtId="164" fontId="66" fillId="11" borderId="0" xfId="2" applyNumberFormat="1" applyFont="1" applyFill="1" applyAlignment="1">
      <alignment horizontal="left"/>
    </xf>
    <xf numFmtId="1" fontId="29" fillId="11" borderId="15" xfId="2" applyNumberFormat="1" applyFont="1" applyFill="1" applyBorder="1"/>
    <xf numFmtId="1" fontId="29" fillId="11" borderId="15" xfId="2" applyNumberFormat="1" applyFont="1" applyFill="1" applyBorder="1" applyAlignment="1">
      <alignment horizontal="center"/>
    </xf>
    <xf numFmtId="0" fontId="1" fillId="11" borderId="7" xfId="2" applyFill="1" applyBorder="1"/>
    <xf numFmtId="1" fontId="29" fillId="11" borderId="7" xfId="2" applyNumberFormat="1" applyFont="1" applyFill="1" applyBorder="1"/>
    <xf numFmtId="2" fontId="29" fillId="11" borderId="0" xfId="2" applyNumberFormat="1" applyFont="1" applyFill="1"/>
    <xf numFmtId="0" fontId="1" fillId="11" borderId="0" xfId="2" applyFill="1" applyAlignment="1">
      <alignment horizontal="center"/>
    </xf>
    <xf numFmtId="17" fontId="1" fillId="11" borderId="0" xfId="2" applyNumberFormat="1" applyFill="1" applyAlignment="1">
      <alignment horizontal="center"/>
    </xf>
    <xf numFmtId="0" fontId="23" fillId="11" borderId="0" xfId="2" applyFont="1" applyFill="1" applyAlignment="1">
      <alignment horizontal="left" indent="1"/>
    </xf>
    <xf numFmtId="2" fontId="10" fillId="11" borderId="0" xfId="2" applyNumberFormat="1" applyFont="1" applyFill="1" applyAlignment="1">
      <alignment horizontal="center"/>
    </xf>
    <xf numFmtId="0" fontId="10" fillId="11" borderId="0" xfId="0" applyFont="1" applyFill="1" applyAlignment="1">
      <alignment horizontal="center"/>
    </xf>
    <xf numFmtId="0" fontId="10" fillId="11" borderId="0" xfId="0" applyFont="1" applyFill="1"/>
    <xf numFmtId="1" fontId="10" fillId="11" borderId="0" xfId="0" applyNumberFormat="1" applyFont="1" applyFill="1" applyAlignment="1">
      <alignment horizontal="center"/>
    </xf>
    <xf numFmtId="9" fontId="6" fillId="11" borderId="0" xfId="2" applyNumberFormat="1" applyFont="1" applyFill="1" applyAlignment="1">
      <alignment horizontal="center"/>
    </xf>
    <xf numFmtId="0" fontId="67" fillId="11" borderId="0" xfId="2" applyFont="1" applyFill="1" applyAlignment="1">
      <alignment horizontal="left"/>
    </xf>
    <xf numFmtId="1" fontId="5" fillId="11" borderId="0" xfId="0" applyNumberFormat="1" applyFont="1" applyFill="1" applyAlignment="1">
      <alignment horizontal="center"/>
    </xf>
    <xf numFmtId="14" fontId="1" fillId="11" borderId="0" xfId="2" applyNumberFormat="1" applyFill="1" applyAlignment="1">
      <alignment horizontal="center"/>
    </xf>
    <xf numFmtId="2" fontId="29" fillId="11" borderId="0" xfId="2" applyNumberFormat="1" applyFont="1" applyFill="1" applyAlignment="1">
      <alignment horizontal="center"/>
    </xf>
    <xf numFmtId="164" fontId="59" fillId="11" borderId="0" xfId="2" applyNumberFormat="1" applyFont="1" applyFill="1" applyAlignment="1">
      <alignment horizontal="center"/>
    </xf>
    <xf numFmtId="1" fontId="67" fillId="11" borderId="0" xfId="2" applyNumberFormat="1" applyFont="1" applyFill="1" applyAlignment="1">
      <alignment horizontal="left"/>
    </xf>
    <xf numFmtId="0" fontId="9" fillId="11" borderId="0" xfId="0" applyFont="1" applyFill="1"/>
    <xf numFmtId="1" fontId="1" fillId="11" borderId="0" xfId="2" applyNumberFormat="1" applyFill="1" applyAlignment="1">
      <alignment horizontal="right"/>
    </xf>
    <xf numFmtId="0" fontId="5" fillId="11" borderId="7" xfId="0" applyFont="1" applyFill="1" applyBorder="1"/>
    <xf numFmtId="0" fontId="23" fillId="11" borderId="7" xfId="2" applyFont="1" applyFill="1" applyBorder="1"/>
    <xf numFmtId="1" fontId="1" fillId="11" borderId="7" xfId="2" applyNumberFormat="1" applyFill="1" applyBorder="1" applyAlignment="1">
      <alignment horizontal="right"/>
    </xf>
    <xf numFmtId="1" fontId="1" fillId="11" borderId="7" xfId="2" applyNumberFormat="1" applyFill="1" applyBorder="1"/>
    <xf numFmtId="2" fontId="29" fillId="11" borderId="7" xfId="2" applyNumberFormat="1" applyFont="1" applyFill="1" applyBorder="1" applyAlignment="1">
      <alignment horizontal="center"/>
    </xf>
    <xf numFmtId="2" fontId="68" fillId="11" borderId="0" xfId="2" applyNumberFormat="1" applyFont="1" applyFill="1" applyAlignment="1">
      <alignment horizontal="center"/>
    </xf>
    <xf numFmtId="0" fontId="68" fillId="11" borderId="0" xfId="0" applyFont="1" applyFill="1" applyAlignment="1">
      <alignment horizontal="center"/>
    </xf>
    <xf numFmtId="0" fontId="68" fillId="11" borderId="0" xfId="0" applyFont="1" applyFill="1"/>
    <xf numFmtId="1" fontId="68" fillId="11" borderId="0" xfId="0" applyNumberFormat="1" applyFont="1" applyFill="1" applyAlignment="1">
      <alignment horizontal="center"/>
    </xf>
    <xf numFmtId="1" fontId="69" fillId="11" borderId="0" xfId="0" applyNumberFormat="1" applyFont="1" applyFill="1" applyAlignment="1">
      <alignment horizontal="left"/>
    </xf>
    <xf numFmtId="1" fontId="10" fillId="11" borderId="0" xfId="0" applyNumberFormat="1" applyFont="1" applyFill="1" applyAlignment="1">
      <alignment horizontal="right"/>
    </xf>
    <xf numFmtId="1" fontId="64" fillId="11" borderId="0" xfId="0" applyNumberFormat="1" applyFont="1" applyFill="1" applyAlignment="1">
      <alignment horizontal="left"/>
    </xf>
    <xf numFmtId="17" fontId="1" fillId="11" borderId="0" xfId="2" applyNumberFormat="1" applyFill="1"/>
  </cellXfs>
  <cellStyles count="4">
    <cellStyle name="Normal" xfId="0" builtinId="0"/>
    <cellStyle name="Normal 2 2" xfId="2" xr:uid="{0C001039-68E2-4F3A-A0EE-DCD2FFE9D0F9}"/>
    <cellStyle name="Percent" xfId="1" builtinId="5"/>
    <cellStyle name="Percent 2" xfId="3" xr:uid="{F6F1A563-4808-4D1C-915E-BAE02A459848}"/>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4C0B6-7E9E-448A-96D0-AF0AEF2AE74A}">
  <sheetPr>
    <pageSetUpPr fitToPage="1"/>
  </sheetPr>
  <dimension ref="A1:P185"/>
  <sheetViews>
    <sheetView showZeros="0" tabSelected="1" topLeftCell="A118" zoomScale="120" workbookViewId="0">
      <selection activeCell="E48" sqref="E48"/>
    </sheetView>
  </sheetViews>
  <sheetFormatPr defaultColWidth="9.109375" defaultRowHeight="15" customHeight="1" x14ac:dyDescent="0.25"/>
  <cols>
    <col min="1" max="1" width="3.6640625" style="95" customWidth="1"/>
    <col min="2" max="2" width="10.5546875" style="19" customWidth="1"/>
    <col min="3" max="3" width="11.21875" style="19" customWidth="1"/>
    <col min="4" max="4" width="12.6640625" style="19" customWidth="1"/>
    <col min="5" max="5" width="14.88671875" style="19" customWidth="1"/>
    <col min="6" max="6" width="10.44140625" style="19" customWidth="1"/>
    <col min="7" max="7" width="10.6640625" style="19" customWidth="1"/>
    <col min="8" max="8" width="12.6640625" style="19" customWidth="1"/>
    <col min="9" max="9" width="3.44140625" style="19" customWidth="1"/>
    <col min="10" max="10" width="4.5546875" style="19" customWidth="1"/>
    <col min="11" max="11" width="29.44140625" style="19" customWidth="1"/>
    <col min="12" max="12" width="9.6640625" style="19" customWidth="1"/>
    <col min="13" max="13" width="10.44140625" style="19" customWidth="1"/>
    <col min="14" max="14" width="10.21875" style="19" customWidth="1"/>
    <col min="15" max="15" width="8" style="19" customWidth="1"/>
    <col min="16" max="16384" width="9.109375" style="19"/>
  </cols>
  <sheetData>
    <row r="1" spans="1:14" s="9" customFormat="1" ht="14.25" customHeight="1" x14ac:dyDescent="0.3">
      <c r="A1" s="1" t="s">
        <v>0</v>
      </c>
      <c r="B1" s="2"/>
      <c r="C1" s="2"/>
      <c r="D1" s="3" t="s">
        <v>1</v>
      </c>
      <c r="E1" s="3"/>
      <c r="F1" s="3"/>
      <c r="G1" s="3"/>
      <c r="H1" s="3"/>
      <c r="I1" s="4"/>
      <c r="J1" s="5" t="s">
        <v>2</v>
      </c>
      <c r="K1" s="6"/>
      <c r="L1" s="6"/>
      <c r="M1" s="7" t="s">
        <v>3</v>
      </c>
      <c r="N1" s="8" t="s">
        <v>4</v>
      </c>
    </row>
    <row r="2" spans="1:14" ht="15" customHeight="1" thickBot="1" x14ac:dyDescent="0.3">
      <c r="A2" s="10" t="s">
        <v>5</v>
      </c>
      <c r="B2" s="11"/>
      <c r="C2" s="11"/>
      <c r="D2" s="12" t="s">
        <v>6</v>
      </c>
      <c r="E2" s="13" t="s">
        <v>7</v>
      </c>
      <c r="F2" s="14" t="s">
        <v>8</v>
      </c>
      <c r="G2" s="14"/>
      <c r="H2" s="15">
        <v>31600</v>
      </c>
      <c r="I2" s="16">
        <f>IF(H2&lt;22008,"Sr",0)</f>
        <v>0</v>
      </c>
      <c r="J2" s="17"/>
      <c r="K2" s="18" t="s">
        <v>9</v>
      </c>
      <c r="L2" s="19">
        <v>8600000</v>
      </c>
      <c r="N2" s="20">
        <v>44511</v>
      </c>
    </row>
    <row r="3" spans="1:14" ht="15" customHeight="1" x14ac:dyDescent="0.25">
      <c r="A3" s="21"/>
      <c r="B3" s="22" t="s">
        <v>10</v>
      </c>
      <c r="G3" s="23"/>
      <c r="H3" s="24" t="s">
        <v>11</v>
      </c>
      <c r="I3" s="25"/>
      <c r="J3" s="26" t="s">
        <v>12</v>
      </c>
      <c r="K3" s="19" t="s">
        <v>13</v>
      </c>
      <c r="L3" s="19">
        <v>12000</v>
      </c>
      <c r="M3" s="19">
        <v>11000</v>
      </c>
      <c r="N3" s="27" t="s">
        <v>14</v>
      </c>
    </row>
    <row r="4" spans="1:14" ht="15" customHeight="1" x14ac:dyDescent="0.25">
      <c r="A4" s="28"/>
      <c r="B4" s="29" t="s">
        <v>15</v>
      </c>
      <c r="C4" s="30" t="s">
        <v>16</v>
      </c>
      <c r="G4" s="31">
        <f>+L8</f>
        <v>8683400</v>
      </c>
      <c r="H4" s="32"/>
      <c r="I4" s="33"/>
      <c r="J4" s="26" t="s">
        <v>17</v>
      </c>
      <c r="K4" s="19" t="s">
        <v>18</v>
      </c>
      <c r="L4" s="19">
        <v>29000</v>
      </c>
      <c r="M4" s="19">
        <v>20000</v>
      </c>
      <c r="N4" s="34">
        <v>44561</v>
      </c>
    </row>
    <row r="5" spans="1:14" ht="15" customHeight="1" x14ac:dyDescent="0.25">
      <c r="A5" s="28"/>
      <c r="B5" s="29" t="s">
        <v>19</v>
      </c>
      <c r="C5" s="30" t="s">
        <v>20</v>
      </c>
      <c r="G5" s="31">
        <f>+L9</f>
        <v>34000</v>
      </c>
      <c r="H5" s="32"/>
      <c r="I5" s="33"/>
      <c r="J5" s="26" t="s">
        <v>21</v>
      </c>
      <c r="K5" s="19" t="s">
        <v>22</v>
      </c>
      <c r="L5" s="19">
        <v>2400</v>
      </c>
      <c r="M5" s="19">
        <v>2400</v>
      </c>
      <c r="N5" s="35" t="s">
        <v>23</v>
      </c>
    </row>
    <row r="6" spans="1:14" ht="15" customHeight="1" thickBot="1" x14ac:dyDescent="0.3">
      <c r="A6" s="28"/>
      <c r="B6" s="29" t="s">
        <v>24</v>
      </c>
      <c r="C6" s="30" t="s">
        <v>25</v>
      </c>
      <c r="G6" s="36"/>
      <c r="H6" s="32"/>
      <c r="I6" s="33"/>
      <c r="J6" s="26"/>
      <c r="K6" s="19" t="s">
        <v>26</v>
      </c>
      <c r="L6" s="19">
        <v>34000</v>
      </c>
      <c r="N6" s="37">
        <v>44476</v>
      </c>
    </row>
    <row r="7" spans="1:14" ht="15" customHeight="1" x14ac:dyDescent="0.25">
      <c r="A7" s="28"/>
      <c r="B7" s="22"/>
      <c r="C7" s="30"/>
      <c r="F7" s="38" t="s">
        <v>27</v>
      </c>
      <c r="G7" s="39">
        <f>G4+G5+G6</f>
        <v>8717400</v>
      </c>
      <c r="H7" s="32"/>
      <c r="I7" s="33"/>
      <c r="J7" s="26"/>
      <c r="K7" s="19" t="s">
        <v>28</v>
      </c>
      <c r="L7" s="19">
        <v>6000</v>
      </c>
      <c r="M7" s="40"/>
      <c r="N7" s="41" t="s">
        <v>29</v>
      </c>
    </row>
    <row r="8" spans="1:14" ht="15" customHeight="1" thickBot="1" x14ac:dyDescent="0.3">
      <c r="A8" s="28"/>
      <c r="B8" s="42" t="s">
        <v>30</v>
      </c>
      <c r="C8" s="30" t="s">
        <v>31</v>
      </c>
      <c r="G8" s="36">
        <f>M9+M4+M3+M5</f>
        <v>63400</v>
      </c>
      <c r="H8" s="32"/>
      <c r="I8" s="33"/>
      <c r="J8" s="26"/>
      <c r="L8" s="43">
        <f>SUM(L2:L7)</f>
        <v>8683400</v>
      </c>
      <c r="M8" s="43">
        <f>SUM(M2:M7)</f>
        <v>33400</v>
      </c>
      <c r="N8" s="44" t="s">
        <v>32</v>
      </c>
    </row>
    <row r="9" spans="1:14" ht="15" customHeight="1" thickTop="1" thickBot="1" x14ac:dyDescent="0.3">
      <c r="A9" s="28"/>
      <c r="B9" s="22"/>
      <c r="F9" s="38" t="s">
        <v>33</v>
      </c>
      <c r="G9" s="45">
        <f>G7-G8</f>
        <v>8654000</v>
      </c>
      <c r="H9" s="32"/>
      <c r="I9" s="33"/>
      <c r="J9" s="17">
        <v>5</v>
      </c>
      <c r="K9" s="18" t="s">
        <v>34</v>
      </c>
      <c r="L9" s="19">
        <v>34000</v>
      </c>
      <c r="M9" s="19">
        <v>30000</v>
      </c>
      <c r="N9" s="46">
        <v>5000</v>
      </c>
    </row>
    <row r="10" spans="1:14" ht="15" customHeight="1" x14ac:dyDescent="0.25">
      <c r="A10" s="28"/>
      <c r="B10" s="29" t="s">
        <v>35</v>
      </c>
      <c r="C10" s="47" t="s">
        <v>36</v>
      </c>
      <c r="G10" s="36">
        <v>50000</v>
      </c>
      <c r="H10" s="32">
        <f>G9-G10</f>
        <v>8604000</v>
      </c>
      <c r="I10" s="33"/>
      <c r="J10" s="17"/>
    </row>
    <row r="11" spans="1:14" ht="21" customHeight="1" x14ac:dyDescent="0.25">
      <c r="A11" s="28"/>
      <c r="B11" s="22" t="s">
        <v>37</v>
      </c>
      <c r="E11" s="48" t="s">
        <v>38</v>
      </c>
      <c r="G11" s="23"/>
      <c r="H11" s="32"/>
      <c r="I11" s="33"/>
      <c r="J11" s="26"/>
    </row>
    <row r="12" spans="1:14" ht="15" customHeight="1" x14ac:dyDescent="0.25">
      <c r="A12" s="28"/>
      <c r="C12" s="49" t="s">
        <v>39</v>
      </c>
      <c r="D12" s="30"/>
      <c r="E12" s="50"/>
      <c r="F12" s="7"/>
      <c r="G12" s="51">
        <f>+M13</f>
        <v>2140000</v>
      </c>
      <c r="H12" s="52"/>
      <c r="I12" s="33"/>
    </row>
    <row r="13" spans="1:14" ht="15" customHeight="1" x14ac:dyDescent="0.25">
      <c r="A13" s="28"/>
      <c r="C13" s="53" t="s">
        <v>40</v>
      </c>
      <c r="D13" s="30"/>
      <c r="E13" s="50"/>
      <c r="F13" s="7"/>
      <c r="G13" s="54">
        <f>+M14</f>
        <v>80000</v>
      </c>
      <c r="H13" s="52"/>
      <c r="I13" s="33"/>
      <c r="K13" s="19" t="s">
        <v>41</v>
      </c>
      <c r="M13" s="19">
        <v>2140000</v>
      </c>
    </row>
    <row r="14" spans="1:14" ht="15" customHeight="1" x14ac:dyDescent="0.25">
      <c r="A14" s="28"/>
      <c r="C14" s="53"/>
      <c r="D14" s="30"/>
      <c r="E14" s="50"/>
      <c r="F14" s="7"/>
      <c r="G14" s="40">
        <f>G12-G13</f>
        <v>2060000</v>
      </c>
      <c r="H14" s="52"/>
      <c r="I14" s="33"/>
      <c r="K14" s="19" t="s">
        <v>42</v>
      </c>
      <c r="M14" s="19">
        <v>80000</v>
      </c>
    </row>
    <row r="15" spans="1:14" ht="15" customHeight="1" x14ac:dyDescent="0.25">
      <c r="A15" s="28"/>
      <c r="B15" s="29" t="s">
        <v>43</v>
      </c>
      <c r="C15" s="47" t="s">
        <v>44</v>
      </c>
      <c r="D15" s="30"/>
      <c r="E15" s="47" t="s">
        <v>45</v>
      </c>
      <c r="F15" s="40">
        <f>G14*0.3</f>
        <v>618000</v>
      </c>
      <c r="H15" s="52"/>
      <c r="I15" s="33"/>
      <c r="K15" s="19" t="s">
        <v>46</v>
      </c>
      <c r="M15" s="19">
        <v>510000</v>
      </c>
    </row>
    <row r="16" spans="1:14" ht="15" customHeight="1" x14ac:dyDescent="0.25">
      <c r="A16" s="28"/>
      <c r="C16" s="53"/>
      <c r="D16" s="30"/>
      <c r="E16" s="47" t="s">
        <v>47</v>
      </c>
      <c r="F16" s="55">
        <f>+M15</f>
        <v>510000</v>
      </c>
      <c r="G16" s="56">
        <f>F15+F16</f>
        <v>1128000</v>
      </c>
      <c r="H16" s="52"/>
      <c r="I16" s="33"/>
      <c r="K16" s="47" t="s">
        <v>48</v>
      </c>
      <c r="L16" s="57"/>
      <c r="N16" s="19">
        <v>74000</v>
      </c>
    </row>
    <row r="17" spans="1:14" ht="15" customHeight="1" x14ac:dyDescent="0.25">
      <c r="A17" s="28"/>
      <c r="C17" s="49"/>
      <c r="D17" s="30"/>
      <c r="F17" s="7"/>
      <c r="G17" s="58">
        <f>G14-G16</f>
        <v>932000</v>
      </c>
      <c r="H17" s="52"/>
      <c r="I17" s="33"/>
    </row>
    <row r="18" spans="1:14" ht="15" customHeight="1" x14ac:dyDescent="0.25">
      <c r="A18" s="28"/>
      <c r="F18" s="59" t="s">
        <v>49</v>
      </c>
      <c r="G18" s="60">
        <f>+N16</f>
        <v>74000</v>
      </c>
      <c r="H18" s="52">
        <f>G17-G18</f>
        <v>858000</v>
      </c>
      <c r="I18" s="33"/>
    </row>
    <row r="19" spans="1:14" ht="15" customHeight="1" x14ac:dyDescent="0.25">
      <c r="A19" s="28"/>
      <c r="B19" s="22" t="s">
        <v>50</v>
      </c>
      <c r="H19" s="52"/>
      <c r="I19" s="33"/>
    </row>
    <row r="20" spans="1:14" ht="15" customHeight="1" x14ac:dyDescent="0.25">
      <c r="A20" s="28"/>
      <c r="C20" s="47" t="s">
        <v>51</v>
      </c>
      <c r="G20" s="61"/>
      <c r="H20" s="52"/>
      <c r="I20" s="33"/>
    </row>
    <row r="21" spans="1:14" ht="15" customHeight="1" x14ac:dyDescent="0.25">
      <c r="A21" s="28"/>
      <c r="C21" s="47" t="s">
        <v>52</v>
      </c>
      <c r="G21" s="62"/>
      <c r="H21" s="52">
        <f>G20+G21</f>
        <v>0</v>
      </c>
      <c r="I21" s="33"/>
    </row>
    <row r="22" spans="1:14" ht="15" customHeight="1" x14ac:dyDescent="0.25">
      <c r="A22" s="28"/>
      <c r="B22" s="22" t="s">
        <v>53</v>
      </c>
      <c r="H22" s="52"/>
      <c r="I22" s="33"/>
    </row>
    <row r="23" spans="1:14" ht="15" customHeight="1" x14ac:dyDescent="0.25">
      <c r="A23" s="28"/>
      <c r="B23" s="63"/>
      <c r="C23" s="49" t="s">
        <v>54</v>
      </c>
      <c r="D23" s="29"/>
      <c r="E23" s="29"/>
      <c r="F23" s="47"/>
      <c r="G23" s="61">
        <f>+L23</f>
        <v>132930</v>
      </c>
      <c r="H23" s="52"/>
      <c r="I23" s="33"/>
      <c r="K23" s="19" t="s">
        <v>54</v>
      </c>
      <c r="L23" s="19">
        <v>132930</v>
      </c>
    </row>
    <row r="24" spans="1:14" ht="15" customHeight="1" x14ac:dyDescent="0.25">
      <c r="A24" s="28"/>
      <c r="B24" s="63"/>
      <c r="C24" s="49" t="str">
        <f>+K24</f>
        <v>Interest on Loan given  to Friend</v>
      </c>
      <c r="D24" s="29"/>
      <c r="E24" s="29"/>
      <c r="F24" s="47"/>
      <c r="G24" s="61">
        <f>+L24</f>
        <v>18700</v>
      </c>
      <c r="H24" s="52"/>
      <c r="I24" s="33"/>
      <c r="K24" s="19" t="s">
        <v>55</v>
      </c>
      <c r="L24" s="19">
        <v>18700</v>
      </c>
    </row>
    <row r="25" spans="1:14" ht="15" customHeight="1" x14ac:dyDescent="0.25">
      <c r="A25" s="28"/>
      <c r="B25" s="63"/>
      <c r="C25" s="49" t="str">
        <f>+K25</f>
        <v>Accrued Intt on NSCs (01-01-18)</v>
      </c>
      <c r="D25" s="29"/>
      <c r="E25" s="29"/>
      <c r="F25" s="47"/>
      <c r="G25" s="61">
        <f>+L25</f>
        <v>2200</v>
      </c>
      <c r="H25" s="52"/>
      <c r="I25" s="33"/>
      <c r="K25" s="19" t="s">
        <v>56</v>
      </c>
      <c r="L25" s="19">
        <f>25000*0.088</f>
        <v>2200</v>
      </c>
    </row>
    <row r="26" spans="1:14" ht="15" customHeight="1" x14ac:dyDescent="0.25">
      <c r="A26" s="28"/>
      <c r="B26" s="64">
        <f>+M26</f>
        <v>43997</v>
      </c>
      <c r="C26" s="53" t="str">
        <f>+K26</f>
        <v xml:space="preserve">Dividend (No TDS) </v>
      </c>
      <c r="D26" s="29"/>
      <c r="E26" s="29"/>
      <c r="F26" s="47"/>
      <c r="G26" s="65">
        <f>+L26</f>
        <v>4700</v>
      </c>
      <c r="H26" s="52"/>
      <c r="I26" s="33"/>
      <c r="K26" s="66" t="s">
        <v>57</v>
      </c>
      <c r="L26" s="66">
        <v>4700</v>
      </c>
      <c r="M26" s="67">
        <v>43997</v>
      </c>
    </row>
    <row r="27" spans="1:14" ht="15" customHeight="1" x14ac:dyDescent="0.25">
      <c r="A27" s="28"/>
      <c r="B27" s="63"/>
      <c r="C27" s="53" t="str">
        <f>+K27</f>
        <v xml:space="preserve">Intt on Income Tax Refund </v>
      </c>
      <c r="D27" s="29"/>
      <c r="E27" s="29"/>
      <c r="F27" s="47"/>
      <c r="G27" s="65">
        <f>+L27</f>
        <v>11250</v>
      </c>
      <c r="H27" s="52"/>
      <c r="I27" s="33"/>
      <c r="K27" s="19" t="s">
        <v>58</v>
      </c>
      <c r="L27" s="19">
        <v>11250</v>
      </c>
      <c r="M27" s="68">
        <v>44202</v>
      </c>
    </row>
    <row r="28" spans="1:14" ht="15" customHeight="1" x14ac:dyDescent="0.25">
      <c r="A28" s="69"/>
      <c r="B28" s="70">
        <v>44120</v>
      </c>
      <c r="C28" s="19" t="s">
        <v>59</v>
      </c>
      <c r="G28" s="71">
        <f>L28/70*100</f>
        <v>50000</v>
      </c>
      <c r="H28" s="52">
        <f>SUM(G23:G28)</f>
        <v>219780</v>
      </c>
      <c r="I28" s="33"/>
      <c r="J28" s="17" t="s">
        <v>60</v>
      </c>
      <c r="K28" s="19" t="s">
        <v>61</v>
      </c>
      <c r="L28" s="19">
        <v>35000</v>
      </c>
      <c r="M28" s="72">
        <v>44120</v>
      </c>
    </row>
    <row r="29" spans="1:14" ht="15" customHeight="1" x14ac:dyDescent="0.25">
      <c r="A29" s="28"/>
      <c r="B29" s="63"/>
      <c r="G29" s="18"/>
      <c r="H29" s="52"/>
      <c r="I29" s="73"/>
      <c r="K29" s="74" t="s">
        <v>62</v>
      </c>
      <c r="L29" s="75" t="s">
        <v>63</v>
      </c>
      <c r="N29" s="19">
        <v>700</v>
      </c>
    </row>
    <row r="30" spans="1:14" ht="15" customHeight="1" x14ac:dyDescent="0.25">
      <c r="A30" s="28"/>
      <c r="B30" s="22" t="s">
        <v>64</v>
      </c>
      <c r="E30" s="7"/>
      <c r="F30" s="7"/>
      <c r="G30" s="32"/>
      <c r="H30" s="76">
        <f>SUM(H4:H29)</f>
        <v>9681780</v>
      </c>
      <c r="I30" s="77"/>
    </row>
    <row r="31" spans="1:14" ht="15" customHeight="1" x14ac:dyDescent="0.25">
      <c r="A31" s="28"/>
      <c r="B31" s="78" t="s">
        <v>65</v>
      </c>
      <c r="H31" s="52"/>
      <c r="I31" s="33"/>
      <c r="K31" s="79"/>
      <c r="L31" s="79"/>
    </row>
    <row r="32" spans="1:14" ht="15" customHeight="1" x14ac:dyDescent="0.25">
      <c r="A32" s="28"/>
      <c r="B32" s="80"/>
      <c r="C32" s="48" t="s">
        <v>66</v>
      </c>
      <c r="D32" s="47" t="str">
        <f>+K32</f>
        <v>Prov Fund</v>
      </c>
      <c r="F32" s="61">
        <f>+M32</f>
        <v>110000</v>
      </c>
      <c r="H32" s="52"/>
      <c r="I32" s="33"/>
      <c r="K32" s="79" t="s">
        <v>67</v>
      </c>
      <c r="M32" s="79">
        <v>110000</v>
      </c>
    </row>
    <row r="33" spans="1:13" ht="15" customHeight="1" x14ac:dyDescent="0.25">
      <c r="A33" s="28"/>
      <c r="B33" s="80"/>
      <c r="C33" s="48"/>
      <c r="D33" s="47" t="str">
        <f>+K25</f>
        <v>Accrued Intt on NSCs (01-01-18)</v>
      </c>
      <c r="F33" s="62">
        <f>+G25</f>
        <v>2200</v>
      </c>
      <c r="G33" s="61">
        <f>F32+F33</f>
        <v>112200</v>
      </c>
      <c r="H33" s="52"/>
      <c r="I33" s="33"/>
      <c r="K33" s="79" t="str">
        <f>+K25</f>
        <v>Accrued Intt on NSCs (01-01-18)</v>
      </c>
      <c r="M33" s="79">
        <f>+L25</f>
        <v>2200</v>
      </c>
    </row>
    <row r="34" spans="1:13" ht="15" customHeight="1" x14ac:dyDescent="0.25">
      <c r="A34" s="28"/>
      <c r="B34" s="80"/>
      <c r="C34" s="48" t="s">
        <v>68</v>
      </c>
      <c r="F34" s="81"/>
      <c r="G34" s="61">
        <f>+M34</f>
        <v>20000</v>
      </c>
      <c r="H34" s="52"/>
      <c r="I34" s="33"/>
      <c r="K34" s="79" t="s">
        <v>69</v>
      </c>
      <c r="M34" s="79">
        <v>20000</v>
      </c>
    </row>
    <row r="35" spans="1:13" ht="15" customHeight="1" x14ac:dyDescent="0.25">
      <c r="A35" s="28"/>
      <c r="B35" s="80"/>
      <c r="C35" s="48" t="s">
        <v>70</v>
      </c>
      <c r="D35" s="47" t="s">
        <v>71</v>
      </c>
      <c r="F35" s="81"/>
      <c r="G35" s="51" t="s">
        <v>72</v>
      </c>
      <c r="H35" s="52"/>
      <c r="I35" s="33"/>
      <c r="K35" s="79" t="s">
        <v>73</v>
      </c>
      <c r="M35" s="19">
        <v>48000</v>
      </c>
    </row>
    <row r="36" spans="1:13" ht="15" customHeight="1" x14ac:dyDescent="0.25">
      <c r="A36" s="82">
        <f>+I2</f>
        <v>0</v>
      </c>
      <c r="C36" s="48" t="s">
        <v>74</v>
      </c>
      <c r="D36" s="47" t="s">
        <v>75</v>
      </c>
      <c r="E36" s="7"/>
      <c r="F36" s="7"/>
      <c r="G36" s="60">
        <v>10000</v>
      </c>
      <c r="H36" s="52">
        <f>SUM(G32:G36)</f>
        <v>142200</v>
      </c>
      <c r="I36" s="33"/>
    </row>
    <row r="37" spans="1:13" ht="15" customHeight="1" thickBot="1" x14ac:dyDescent="0.3">
      <c r="A37" s="28"/>
      <c r="B37" s="83" t="s">
        <v>76</v>
      </c>
      <c r="E37" s="84">
        <f>IF((H30-H36)&lt;0,0,(H30-H36))</f>
        <v>9539580</v>
      </c>
      <c r="F37" s="85" t="s">
        <v>77</v>
      </c>
      <c r="G37" s="86"/>
      <c r="H37" s="87">
        <f>ROUND((E37/10),0)*10</f>
        <v>9539580</v>
      </c>
      <c r="I37" s="88"/>
      <c r="K37" s="81" t="s">
        <v>78</v>
      </c>
    </row>
    <row r="38" spans="1:13" ht="15" customHeight="1" thickTop="1" x14ac:dyDescent="0.25">
      <c r="A38" s="28"/>
      <c r="B38" s="81" t="s">
        <v>79</v>
      </c>
      <c r="E38" s="89" t="s">
        <v>80</v>
      </c>
      <c r="F38" s="90" t="s">
        <v>81</v>
      </c>
      <c r="G38" s="89" t="s">
        <v>82</v>
      </c>
      <c r="H38" s="91"/>
      <c r="I38" s="92"/>
      <c r="K38" s="93" t="s">
        <v>83</v>
      </c>
      <c r="L38" s="94">
        <v>0.05</v>
      </c>
      <c r="M38" s="19">
        <f>250000*5%</f>
        <v>12500</v>
      </c>
    </row>
    <row r="39" spans="1:13" ht="15" customHeight="1" x14ac:dyDescent="0.25">
      <c r="A39" s="28"/>
      <c r="B39" s="95"/>
      <c r="C39" s="47" t="s">
        <v>84</v>
      </c>
      <c r="E39" s="18">
        <f>H37-E40</f>
        <v>9489580</v>
      </c>
      <c r="F39" s="96"/>
      <c r="G39" s="19">
        <f>IF(+I2="Sr",ROUND(IF(E39&gt;1000000,(((E39-1000000)*0.3)+110000),IF(E39&gt;500000,(((E39-500000)*0.2)+10000),IF(E39&gt;300000,((E39-300000)*0.05),0))),0),ROUND(IF(E39&gt;1000000,(((E39-1000000)*0.3)+112500),IF(E39&gt;500000,(((E39-500000)*0.2)+12500),IF(E39&gt;250000,((E39-250000)*0.05),0))),0))</f>
        <v>2659374</v>
      </c>
      <c r="H39" s="91"/>
      <c r="I39" s="92"/>
      <c r="K39" s="93" t="s">
        <v>85</v>
      </c>
      <c r="L39" s="94">
        <v>0.2</v>
      </c>
      <c r="M39" s="19">
        <f>500000*20%</f>
        <v>100000</v>
      </c>
    </row>
    <row r="40" spans="1:13" ht="15" customHeight="1" x14ac:dyDescent="0.25">
      <c r="A40" s="28"/>
      <c r="B40" s="82" t="s">
        <v>86</v>
      </c>
      <c r="C40" s="47" t="s">
        <v>87</v>
      </c>
      <c r="E40" s="65">
        <f>+G28</f>
        <v>50000</v>
      </c>
      <c r="F40" s="97">
        <v>0.3</v>
      </c>
      <c r="G40" s="60">
        <f>ROUND(E40*F40,0)</f>
        <v>15000</v>
      </c>
      <c r="H40" s="98"/>
      <c r="I40" s="99"/>
      <c r="K40" s="93" t="s">
        <v>88</v>
      </c>
      <c r="L40" s="94">
        <v>0.3</v>
      </c>
      <c r="M40" s="19">
        <f>ROUND((E39-1000000)*30%,0)</f>
        <v>2546874</v>
      </c>
    </row>
    <row r="41" spans="1:13" ht="15" customHeight="1" thickBot="1" x14ac:dyDescent="0.3">
      <c r="A41" s="28"/>
      <c r="D41" s="96"/>
      <c r="E41" s="7"/>
      <c r="G41" s="40">
        <f>G39+G40</f>
        <v>2674374</v>
      </c>
      <c r="H41" s="100"/>
      <c r="I41" s="101"/>
      <c r="M41" s="102">
        <f>SUM(M38:M40)</f>
        <v>2659374</v>
      </c>
    </row>
    <row r="42" spans="1:13" ht="15" customHeight="1" thickTop="1" x14ac:dyDescent="0.25">
      <c r="A42" s="28"/>
      <c r="B42" s="47" t="s">
        <v>89</v>
      </c>
      <c r="C42" s="47" t="s">
        <v>90</v>
      </c>
      <c r="D42" s="96"/>
      <c r="E42" s="7"/>
      <c r="G42" s="103">
        <f>IF(H37&gt;350000,0,IF(G41&gt;2500,2500,G41))</f>
        <v>0</v>
      </c>
      <c r="H42" s="104">
        <f>G41-G42</f>
        <v>2674374</v>
      </c>
      <c r="I42" s="105"/>
    </row>
    <row r="43" spans="1:13" ht="15" customHeight="1" x14ac:dyDescent="0.25">
      <c r="A43" s="28"/>
      <c r="B43" s="19" t="s">
        <v>91</v>
      </c>
      <c r="C43" s="47"/>
      <c r="D43" s="96"/>
      <c r="E43" s="7"/>
      <c r="G43" s="106">
        <v>0.1</v>
      </c>
      <c r="H43" s="107">
        <f>IF(H37&gt;10000000,H42*15%,IF(H37&gt;5000000,H42*10%,0))</f>
        <v>267437.40000000002</v>
      </c>
      <c r="I43" s="108"/>
      <c r="K43" s="109" t="s">
        <v>92</v>
      </c>
      <c r="L43" s="110" t="s">
        <v>93</v>
      </c>
    </row>
    <row r="44" spans="1:13" ht="15" customHeight="1" x14ac:dyDescent="0.25">
      <c r="A44" s="28"/>
      <c r="C44" s="47"/>
      <c r="D44" s="96"/>
      <c r="E44" s="7"/>
      <c r="G44" s="40"/>
      <c r="H44" s="104">
        <f>H42+H43</f>
        <v>2941811.4</v>
      </c>
      <c r="I44" s="105"/>
      <c r="K44" s="111" t="s">
        <v>94</v>
      </c>
      <c r="L44" s="112">
        <v>7000000</v>
      </c>
    </row>
    <row r="45" spans="1:13" ht="15" customHeight="1" x14ac:dyDescent="0.25">
      <c r="A45" s="28"/>
      <c r="B45" s="47" t="s">
        <v>95</v>
      </c>
      <c r="D45" s="96"/>
      <c r="E45" s="7"/>
      <c r="G45" s="106">
        <v>0.04</v>
      </c>
      <c r="H45" s="107">
        <f>ROUND((H44)*0.04,0)</f>
        <v>117672</v>
      </c>
      <c r="I45" s="108"/>
      <c r="K45" s="111" t="s">
        <v>96</v>
      </c>
      <c r="L45" s="112">
        <v>650000</v>
      </c>
    </row>
    <row r="46" spans="1:13" ht="15" customHeight="1" x14ac:dyDescent="0.25">
      <c r="A46" s="28"/>
      <c r="B46" s="81" t="s">
        <v>97</v>
      </c>
      <c r="D46" s="96"/>
      <c r="E46" s="85"/>
      <c r="G46" s="7"/>
      <c r="H46" s="100">
        <f>SUM(H44:H45)</f>
        <v>3059483.4</v>
      </c>
      <c r="I46" s="101"/>
      <c r="J46" s="113"/>
      <c r="K46" s="111" t="s">
        <v>98</v>
      </c>
      <c r="L46" s="112">
        <v>203000</v>
      </c>
    </row>
    <row r="47" spans="1:13" ht="15" customHeight="1" thickBot="1" x14ac:dyDescent="0.35">
      <c r="A47" s="28"/>
      <c r="B47" s="47" t="s">
        <v>99</v>
      </c>
      <c r="D47" s="96"/>
      <c r="E47" s="114" t="s">
        <v>253</v>
      </c>
      <c r="G47" s="115"/>
      <c r="H47" s="116">
        <v>110214</v>
      </c>
      <c r="I47" s="117"/>
      <c r="J47" s="113"/>
      <c r="K47" s="111"/>
      <c r="L47" s="118">
        <f>SUM(L44:L46)</f>
        <v>7853000</v>
      </c>
    </row>
    <row r="48" spans="1:13" ht="15" customHeight="1" thickTop="1" x14ac:dyDescent="0.25">
      <c r="A48" s="28"/>
      <c r="B48" s="47" t="s">
        <v>100</v>
      </c>
      <c r="C48" s="7"/>
      <c r="D48" s="7"/>
      <c r="E48" s="7"/>
      <c r="G48" s="115" t="s">
        <v>101</v>
      </c>
      <c r="H48" s="52">
        <f>H46+H47</f>
        <v>3169697.4</v>
      </c>
      <c r="I48" s="33"/>
      <c r="J48" s="47"/>
      <c r="K48" s="111" t="s">
        <v>102</v>
      </c>
      <c r="L48" s="119">
        <v>2000</v>
      </c>
    </row>
    <row r="49" spans="1:14" ht="15" customHeight="1" x14ac:dyDescent="0.25">
      <c r="A49" s="28"/>
      <c r="B49" s="22" t="s">
        <v>103</v>
      </c>
      <c r="C49" s="7"/>
      <c r="D49" s="7"/>
      <c r="E49" s="7"/>
      <c r="F49" s="7"/>
      <c r="G49" s="7"/>
      <c r="H49" s="52"/>
      <c r="I49" s="33"/>
    </row>
    <row r="50" spans="1:14" ht="15" customHeight="1" x14ac:dyDescent="0.3">
      <c r="A50" s="28"/>
      <c r="B50" s="120">
        <v>44303</v>
      </c>
      <c r="C50" s="121" t="s">
        <v>104</v>
      </c>
      <c r="D50" s="121"/>
      <c r="E50" s="121"/>
      <c r="F50" s="122"/>
      <c r="G50" s="65">
        <v>34000</v>
      </c>
      <c r="H50" s="52"/>
      <c r="I50" s="33"/>
      <c r="K50" s="123" t="s">
        <v>105</v>
      </c>
    </row>
    <row r="51" spans="1:14" ht="15" customHeight="1" x14ac:dyDescent="0.3">
      <c r="A51" s="28"/>
      <c r="B51" s="124"/>
      <c r="C51" s="125" t="s">
        <v>106</v>
      </c>
      <c r="D51" s="125"/>
      <c r="E51" s="125" t="s">
        <v>107</v>
      </c>
      <c r="F51" s="125"/>
      <c r="G51" s="65">
        <v>2310000</v>
      </c>
      <c r="H51" s="52"/>
      <c r="I51" s="33"/>
      <c r="K51" s="19" t="s">
        <v>108</v>
      </c>
      <c r="L51" s="18">
        <f>+H10</f>
        <v>8604000</v>
      </c>
      <c r="N51" s="126"/>
    </row>
    <row r="52" spans="1:14" ht="15" customHeight="1" x14ac:dyDescent="0.3">
      <c r="A52" s="28"/>
      <c r="B52" s="124"/>
      <c r="C52" s="125" t="s">
        <v>109</v>
      </c>
      <c r="D52" s="125"/>
      <c r="E52" s="125" t="s">
        <v>110</v>
      </c>
      <c r="F52" s="125"/>
      <c r="G52" s="65">
        <v>15000</v>
      </c>
      <c r="H52" s="52"/>
      <c r="I52" s="33"/>
      <c r="K52" s="29" t="s">
        <v>111</v>
      </c>
      <c r="L52" s="127">
        <f>F32+G34</f>
        <v>130000</v>
      </c>
      <c r="M52" s="18">
        <f>L51-L52</f>
        <v>8474000</v>
      </c>
    </row>
    <row r="53" spans="1:14" ht="15" customHeight="1" x14ac:dyDescent="0.25">
      <c r="A53" s="28"/>
      <c r="G53" s="65"/>
      <c r="H53" s="52">
        <f>SUM(G50:G53)</f>
        <v>2359000</v>
      </c>
      <c r="I53" s="33"/>
      <c r="K53" s="128" t="s">
        <v>112</v>
      </c>
      <c r="M53" s="19">
        <f>112500+(M52-1000000)*0.3</f>
        <v>2354700</v>
      </c>
    </row>
    <row r="54" spans="1:14" ht="15" customHeight="1" thickBot="1" x14ac:dyDescent="0.3">
      <c r="A54" s="129"/>
      <c r="B54" s="130" t="str">
        <f>IF(H54=0,"TAX  PAYABLE / REFUND ",IF(H54&lt;0,"REFUND","TAX  PAYABLE excluding Interest"))</f>
        <v>TAX  PAYABLE excluding Interest</v>
      </c>
      <c r="C54" s="131"/>
      <c r="D54" s="132"/>
      <c r="E54" s="132"/>
      <c r="F54" s="133" t="s">
        <v>113</v>
      </c>
      <c r="G54" s="134"/>
      <c r="H54" s="135">
        <f>ROUND((H48-H53)/10,0)*10</f>
        <v>810700</v>
      </c>
      <c r="I54" s="136"/>
      <c r="K54" s="128" t="s">
        <v>114</v>
      </c>
      <c r="L54" s="94">
        <v>0.1</v>
      </c>
      <c r="M54" s="19">
        <f>M53*L54</f>
        <v>235470</v>
      </c>
    </row>
    <row r="55" spans="1:14" ht="15" customHeight="1" x14ac:dyDescent="0.25">
      <c r="A55" s="137" t="s">
        <v>115</v>
      </c>
      <c r="B55" s="138"/>
      <c r="C55" s="138"/>
      <c r="D55" s="138"/>
      <c r="E55" s="138"/>
      <c r="F55" s="138"/>
      <c r="G55" s="138"/>
      <c r="H55" s="138"/>
      <c r="I55" s="139"/>
      <c r="K55" s="128" t="s">
        <v>116</v>
      </c>
      <c r="L55" s="94">
        <v>0.04</v>
      </c>
      <c r="M55" s="19">
        <f>ROUND((M54+M53)*0.04,0)</f>
        <v>103607</v>
      </c>
    </row>
    <row r="56" spans="1:14" ht="15" customHeight="1" thickBot="1" x14ac:dyDescent="0.3">
      <c r="A56" s="140">
        <v>44476</v>
      </c>
      <c r="B56" s="141"/>
      <c r="C56" s="142" t="s">
        <v>117</v>
      </c>
      <c r="D56" s="143"/>
      <c r="E56" s="144" t="s">
        <v>118</v>
      </c>
      <c r="F56" s="145" t="s">
        <v>119</v>
      </c>
      <c r="G56" s="145"/>
      <c r="H56" s="145"/>
      <c r="I56" s="146"/>
      <c r="M56" s="147">
        <f>SUM(M53:M55)</f>
        <v>2693777</v>
      </c>
    </row>
    <row r="57" spans="1:14" ht="15" customHeight="1" thickBot="1" x14ac:dyDescent="0.3">
      <c r="A57" s="148"/>
      <c r="B57" s="148"/>
      <c r="C57" s="66"/>
      <c r="D57" s="149"/>
      <c r="E57" s="150"/>
      <c r="F57" s="151"/>
      <c r="G57" s="151"/>
      <c r="H57" s="151"/>
      <c r="I57" s="151"/>
      <c r="K57" s="152"/>
    </row>
    <row r="58" spans="1:14" ht="15" customHeight="1" x14ac:dyDescent="0.25">
      <c r="A58" s="153"/>
      <c r="B58" s="154"/>
      <c r="C58" s="155"/>
      <c r="D58" s="156"/>
      <c r="E58" s="157"/>
      <c r="F58" s="158" t="s">
        <v>120</v>
      </c>
      <c r="G58" s="158"/>
      <c r="H58" s="159"/>
      <c r="I58" s="151"/>
      <c r="K58" s="160" t="s">
        <v>120</v>
      </c>
      <c r="L58" s="161"/>
      <c r="M58" s="152"/>
      <c r="N58" s="152"/>
    </row>
    <row r="59" spans="1:14" ht="15" customHeight="1" x14ac:dyDescent="0.25">
      <c r="A59" s="162"/>
      <c r="B59" s="163"/>
      <c r="C59" s="164"/>
      <c r="D59" s="165"/>
      <c r="E59" s="166"/>
      <c r="F59" s="167" t="s">
        <v>121</v>
      </c>
      <c r="G59" s="167"/>
      <c r="H59" s="168">
        <f>+G7-M3</f>
        <v>8706400</v>
      </c>
      <c r="I59" s="151"/>
      <c r="K59" s="169" t="s">
        <v>122</v>
      </c>
      <c r="L59" s="170" t="s">
        <v>72</v>
      </c>
      <c r="M59" s="152"/>
      <c r="N59" s="152"/>
    </row>
    <row r="60" spans="1:14" ht="15" customHeight="1" x14ac:dyDescent="0.25">
      <c r="A60" s="162"/>
      <c r="B60" s="163"/>
      <c r="C60" s="164"/>
      <c r="D60" s="165"/>
      <c r="E60" s="166"/>
      <c r="F60" s="171" t="s">
        <v>123</v>
      </c>
      <c r="G60" s="171"/>
      <c r="H60" s="172">
        <f>+H18</f>
        <v>858000</v>
      </c>
      <c r="I60" s="151"/>
      <c r="K60" s="169" t="s">
        <v>124</v>
      </c>
      <c r="L60" s="173">
        <v>0.05</v>
      </c>
    </row>
    <row r="61" spans="1:14" ht="15" customHeight="1" x14ac:dyDescent="0.25">
      <c r="A61" s="162"/>
      <c r="B61" s="163"/>
      <c r="C61" s="164"/>
      <c r="D61" s="165" t="s">
        <v>125</v>
      </c>
      <c r="E61" s="166" t="s">
        <v>126</v>
      </c>
      <c r="F61" s="174" t="s">
        <v>127</v>
      </c>
      <c r="G61" s="174"/>
      <c r="H61" s="175">
        <f>+H28</f>
        <v>219780</v>
      </c>
      <c r="I61" s="151"/>
      <c r="K61" s="169" t="s">
        <v>128</v>
      </c>
      <c r="L61" s="173">
        <v>0.1</v>
      </c>
    </row>
    <row r="62" spans="1:14" ht="15" customHeight="1" thickBot="1" x14ac:dyDescent="0.3">
      <c r="A62" s="162"/>
      <c r="B62" s="163"/>
      <c r="C62" s="176"/>
      <c r="D62" s="177">
        <v>9734180</v>
      </c>
      <c r="E62" s="177">
        <v>50000</v>
      </c>
      <c r="F62" s="178"/>
      <c r="G62" s="179" t="s">
        <v>129</v>
      </c>
      <c r="H62" s="180">
        <f>SUM(H59:H61)</f>
        <v>9784180</v>
      </c>
      <c r="I62" s="151"/>
      <c r="K62" s="169" t="s">
        <v>130</v>
      </c>
      <c r="L62" s="173">
        <v>0.15</v>
      </c>
    </row>
    <row r="63" spans="1:14" ht="15" customHeight="1" thickTop="1" x14ac:dyDescent="0.25">
      <c r="A63" s="162"/>
      <c r="B63" s="163"/>
      <c r="C63" s="164"/>
      <c r="D63" s="165"/>
      <c r="E63" s="166"/>
      <c r="F63" s="181"/>
      <c r="G63" s="181"/>
      <c r="H63" s="182"/>
      <c r="I63" s="151"/>
      <c r="K63" s="169" t="s">
        <v>131</v>
      </c>
      <c r="L63" s="173">
        <v>0.2</v>
      </c>
    </row>
    <row r="64" spans="1:14" ht="15" customHeight="1" x14ac:dyDescent="0.3">
      <c r="A64" s="162"/>
      <c r="B64" s="163"/>
      <c r="C64" s="164"/>
      <c r="D64" s="183" t="s">
        <v>132</v>
      </c>
      <c r="E64" s="184" t="s">
        <v>133</v>
      </c>
      <c r="F64" s="181"/>
      <c r="G64" s="185" t="s">
        <v>112</v>
      </c>
      <c r="H64" s="186">
        <f>ROUND(IF(H62&gt;1500000,(H62-1500000)*30%+187500,IF(H62&gt;1250000,(H62-1250000)*25%+125000,IF(H62&gt;1000000,(H62-1000000)*20%+75000,IF(H62&gt;750000,(H62-750000)*15%+37500,IF(H62&gt;500000,(H62-500000)*10%+12500, IF(H62&gt;250000,(H62-250000)*5%,0)))))),0)</f>
        <v>2672754</v>
      </c>
      <c r="I64" s="151"/>
      <c r="K64" s="169" t="s">
        <v>134</v>
      </c>
      <c r="L64" s="173">
        <v>0.25</v>
      </c>
    </row>
    <row r="65" spans="1:16" ht="15" customHeight="1" thickBot="1" x14ac:dyDescent="0.3">
      <c r="A65" s="162"/>
      <c r="B65" s="163"/>
      <c r="C65" s="164"/>
      <c r="D65" s="165"/>
      <c r="E65" s="166"/>
      <c r="F65" s="181"/>
      <c r="G65" s="185" t="s">
        <v>114</v>
      </c>
      <c r="H65" s="187">
        <f>ROUND(H64*0.1,0)</f>
        <v>267275</v>
      </c>
      <c r="I65" s="151"/>
      <c r="K65" s="169" t="s">
        <v>135</v>
      </c>
      <c r="L65" s="173">
        <v>0.3</v>
      </c>
    </row>
    <row r="66" spans="1:16" ht="15" customHeight="1" x14ac:dyDescent="0.25">
      <c r="A66" s="162"/>
      <c r="B66" s="163"/>
      <c r="C66" s="164"/>
      <c r="D66" s="165"/>
      <c r="E66" s="166"/>
      <c r="F66" s="181"/>
      <c r="G66" s="181"/>
      <c r="H66" s="182">
        <f>H64+H65</f>
        <v>2940029</v>
      </c>
      <c r="I66" s="151"/>
      <c r="K66" s="188" t="s">
        <v>136</v>
      </c>
      <c r="L66" s="189"/>
    </row>
    <row r="67" spans="1:16" ht="15" customHeight="1" x14ac:dyDescent="0.25">
      <c r="A67" s="162"/>
      <c r="B67" s="190" t="s">
        <v>137</v>
      </c>
      <c r="C67" s="191" t="s">
        <v>138</v>
      </c>
      <c r="D67" s="165"/>
      <c r="E67" s="166"/>
      <c r="F67" s="181"/>
      <c r="G67" s="185" t="s">
        <v>116</v>
      </c>
      <c r="H67" s="182">
        <f>ROUND(H66*4%,0)</f>
        <v>117601</v>
      </c>
      <c r="I67" s="151"/>
      <c r="K67" s="192" t="s">
        <v>139</v>
      </c>
      <c r="L67" s="193"/>
    </row>
    <row r="68" spans="1:16" ht="15" customHeight="1" thickBot="1" x14ac:dyDescent="0.3">
      <c r="A68" s="194" t="s">
        <v>140</v>
      </c>
      <c r="B68" s="195">
        <f>+H46</f>
        <v>3059483.4</v>
      </c>
      <c r="C68" s="196">
        <f>B68-H68</f>
        <v>1853.3999999999069</v>
      </c>
      <c r="D68" s="165"/>
      <c r="E68" s="166"/>
      <c r="F68" s="178"/>
      <c r="G68" s="197" t="s">
        <v>141</v>
      </c>
      <c r="H68" s="198">
        <f>SUM(H66:H67)</f>
        <v>3057630</v>
      </c>
      <c r="I68" s="151"/>
      <c r="K68" s="199" t="s">
        <v>142</v>
      </c>
      <c r="L68" s="200"/>
    </row>
    <row r="69" spans="1:16" ht="15" customHeight="1" thickTop="1" thickBot="1" x14ac:dyDescent="0.3">
      <c r="A69" s="194" t="s">
        <v>143</v>
      </c>
      <c r="B69" s="195">
        <v>110214</v>
      </c>
      <c r="C69" s="196">
        <f>B69-+H69</f>
        <v>270</v>
      </c>
      <c r="D69" s="165"/>
      <c r="E69" s="166"/>
      <c r="F69" s="181" t="s">
        <v>144</v>
      </c>
      <c r="G69" s="201"/>
      <c r="H69" s="202">
        <f>+H74</f>
        <v>109944</v>
      </c>
      <c r="I69" s="151"/>
      <c r="K69" s="203" t="s">
        <v>145</v>
      </c>
      <c r="L69" s="204"/>
    </row>
    <row r="70" spans="1:16" ht="15" customHeight="1" thickBot="1" x14ac:dyDescent="0.3">
      <c r="A70" s="205" t="s">
        <v>146</v>
      </c>
      <c r="B70" s="206">
        <f>SUM(B68:B69)</f>
        <v>3169697.4</v>
      </c>
      <c r="C70" s="207">
        <f>C68+C69</f>
        <v>2123.3999999999069</v>
      </c>
      <c r="D70" s="165"/>
      <c r="E70" s="208"/>
      <c r="F70" s="181"/>
      <c r="G70" s="181"/>
      <c r="H70" s="172">
        <f>H68+H69</f>
        <v>3167574</v>
      </c>
      <c r="I70" s="151"/>
      <c r="M70" s="209"/>
      <c r="N70" s="210"/>
    </row>
    <row r="71" spans="1:16" ht="15" customHeight="1" thickTop="1" x14ac:dyDescent="0.3">
      <c r="A71" s="162"/>
      <c r="B71" s="163"/>
      <c r="C71" s="211"/>
      <c r="D71" s="212" t="s">
        <v>147</v>
      </c>
      <c r="E71" s="208"/>
      <c r="F71" s="181" t="s">
        <v>148</v>
      </c>
      <c r="G71" s="201"/>
      <c r="H71" s="213">
        <f>2310000+15000+34000</f>
        <v>2359000</v>
      </c>
      <c r="I71" s="151"/>
      <c r="K71" s="214"/>
      <c r="L71" s="214"/>
      <c r="M71" s="209"/>
      <c r="N71" s="210"/>
    </row>
    <row r="72" spans="1:16" ht="15" customHeight="1" thickBot="1" x14ac:dyDescent="0.3">
      <c r="A72" s="215"/>
      <c r="B72" s="216"/>
      <c r="C72" s="217"/>
      <c r="D72" s="218"/>
      <c r="E72" s="219"/>
      <c r="F72" s="220" t="s">
        <v>149</v>
      </c>
      <c r="G72" s="221"/>
      <c r="H72" s="222">
        <f>H70-H71</f>
        <v>808574</v>
      </c>
      <c r="I72" s="151"/>
      <c r="K72" s="214"/>
      <c r="L72" s="214"/>
      <c r="M72" s="209"/>
      <c r="N72" s="210"/>
    </row>
    <row r="73" spans="1:16" ht="15" customHeight="1" thickBot="1" x14ac:dyDescent="0.3">
      <c r="A73" s="148"/>
      <c r="B73" s="148"/>
      <c r="C73" s="223"/>
      <c r="D73" s="149"/>
      <c r="E73" s="224"/>
      <c r="G73" s="225"/>
      <c r="H73" s="225"/>
      <c r="I73" s="151"/>
      <c r="K73" s="214"/>
      <c r="L73" s="214"/>
      <c r="M73" s="209"/>
      <c r="N73" s="210"/>
    </row>
    <row r="74" spans="1:16" ht="15" customHeight="1" x14ac:dyDescent="0.25">
      <c r="A74" s="226"/>
      <c r="B74" s="227" t="s">
        <v>150</v>
      </c>
      <c r="C74" s="228"/>
      <c r="D74" s="228"/>
      <c r="E74" s="228"/>
      <c r="F74" s="228"/>
      <c r="G74" s="229" t="s">
        <v>151</v>
      </c>
      <c r="H74" s="230">
        <f>+H86+H98+H108</f>
        <v>109944</v>
      </c>
      <c r="I74" s="231"/>
      <c r="J74" s="232" t="s">
        <v>152</v>
      </c>
      <c r="K74" s="233"/>
      <c r="L74" s="214"/>
      <c r="M74" s="19">
        <v>3219</v>
      </c>
    </row>
    <row r="75" spans="1:16" ht="15" customHeight="1" x14ac:dyDescent="0.25">
      <c r="A75" s="234"/>
      <c r="B75" s="235" t="s">
        <v>153</v>
      </c>
      <c r="C75" s="236"/>
      <c r="D75" s="236"/>
      <c r="E75" s="236"/>
      <c r="F75" s="236"/>
      <c r="G75" s="237"/>
      <c r="H75" s="238"/>
      <c r="I75" s="239"/>
      <c r="J75" s="240"/>
      <c r="K75" s="241"/>
      <c r="L75" s="242"/>
      <c r="M75" s="19">
        <v>9657</v>
      </c>
    </row>
    <row r="76" spans="1:16" ht="15" customHeight="1" thickBot="1" x14ac:dyDescent="0.3">
      <c r="A76" s="234"/>
      <c r="B76" s="243" t="s">
        <v>154</v>
      </c>
      <c r="C76" s="236"/>
      <c r="D76" s="244">
        <v>0.34320000000000001</v>
      </c>
      <c r="E76" s="245">
        <f>G76-(50000*0.3432)</f>
        <v>3040470</v>
      </c>
      <c r="F76" s="181"/>
      <c r="G76" s="246">
        <f>+H68</f>
        <v>3057630</v>
      </c>
      <c r="H76" s="181"/>
      <c r="I76" s="239"/>
      <c r="J76" s="181"/>
      <c r="K76" s="241"/>
      <c r="L76" s="242"/>
      <c r="M76" s="19">
        <v>16482</v>
      </c>
    </row>
    <row r="77" spans="1:16" ht="15" customHeight="1" x14ac:dyDescent="0.25">
      <c r="A77" s="234"/>
      <c r="B77" s="243" t="s">
        <v>155</v>
      </c>
      <c r="C77" s="236"/>
      <c r="D77" s="236"/>
      <c r="E77" s="247">
        <f>-2325000</f>
        <v>-2325000</v>
      </c>
      <c r="F77" s="248">
        <v>15000</v>
      </c>
      <c r="G77" s="246">
        <f>(+G51+G52)*-1</f>
        <v>-2325000</v>
      </c>
      <c r="H77" s="181"/>
      <c r="I77" s="239"/>
      <c r="J77" s="181"/>
      <c r="K77" s="241"/>
      <c r="L77" s="242"/>
      <c r="M77" s="127">
        <v>7326</v>
      </c>
      <c r="N77" s="19">
        <f>M74+M75+M76+M77</f>
        <v>36684</v>
      </c>
      <c r="O77" s="7" t="s">
        <v>156</v>
      </c>
      <c r="P77" s="249">
        <f>36954</f>
        <v>36954</v>
      </c>
    </row>
    <row r="78" spans="1:16" ht="15" customHeight="1" thickBot="1" x14ac:dyDescent="0.3">
      <c r="A78" s="234"/>
      <c r="B78" s="243" t="s">
        <v>157</v>
      </c>
      <c r="C78" s="236"/>
      <c r="D78" s="236"/>
      <c r="E78" s="250">
        <f>SUM(E76:E77)</f>
        <v>715470</v>
      </c>
      <c r="F78" s="181"/>
      <c r="G78" s="251">
        <f>G76+G77</f>
        <v>732630</v>
      </c>
      <c r="H78" s="181"/>
      <c r="I78" s="239"/>
      <c r="J78" s="181"/>
      <c r="K78" s="241"/>
      <c r="L78" s="242"/>
      <c r="N78" s="19">
        <v>51282</v>
      </c>
      <c r="O78" s="7" t="s">
        <v>158</v>
      </c>
      <c r="P78" s="252">
        <f>P77-N77</f>
        <v>270</v>
      </c>
    </row>
    <row r="79" spans="1:16" ht="15" customHeight="1" thickTop="1" x14ac:dyDescent="0.25">
      <c r="A79" s="234"/>
      <c r="B79" s="181"/>
      <c r="C79" s="236"/>
      <c r="D79" s="236"/>
      <c r="E79" s="245">
        <f>+E78</f>
        <v>715470</v>
      </c>
      <c r="F79" s="181"/>
      <c r="G79" s="253">
        <f>IF(G78&gt;10000,G78,0)</f>
        <v>732630</v>
      </c>
      <c r="H79" s="181"/>
      <c r="I79" s="239"/>
      <c r="J79" s="181"/>
      <c r="K79" s="241"/>
      <c r="L79" s="242"/>
      <c r="N79" s="19">
        <v>21978</v>
      </c>
      <c r="O79" s="7" t="s">
        <v>159</v>
      </c>
    </row>
    <row r="80" spans="1:16" ht="21.6" customHeight="1" thickBot="1" x14ac:dyDescent="0.3">
      <c r="A80" s="234"/>
      <c r="B80" s="254" t="s">
        <v>160</v>
      </c>
      <c r="C80" s="255" t="s">
        <v>161</v>
      </c>
      <c r="D80" s="255" t="s">
        <v>162</v>
      </c>
      <c r="E80" s="255" t="s">
        <v>163</v>
      </c>
      <c r="F80" s="256" t="s">
        <v>164</v>
      </c>
      <c r="G80" s="257" t="s">
        <v>165</v>
      </c>
      <c r="H80" s="255" t="s">
        <v>166</v>
      </c>
      <c r="I80" s="258" t="s">
        <v>167</v>
      </c>
      <c r="J80" s="258"/>
      <c r="K80" s="259" t="s">
        <v>168</v>
      </c>
      <c r="L80" s="242"/>
      <c r="N80" s="260">
        <f>SUM(N77:N79)</f>
        <v>109944</v>
      </c>
    </row>
    <row r="81" spans="1:12" ht="15" customHeight="1" thickTop="1" x14ac:dyDescent="0.25">
      <c r="A81" s="261">
        <v>0.12</v>
      </c>
      <c r="B81" s="262"/>
      <c r="C81" s="246"/>
      <c r="D81" s="262">
        <v>43997</v>
      </c>
      <c r="E81" s="246">
        <f>E79*0.15</f>
        <v>107320.5</v>
      </c>
      <c r="F81" s="246">
        <f>ROUNDDOWN(+E81,-2)</f>
        <v>107300</v>
      </c>
      <c r="G81" s="246">
        <f>(F81-C81)</f>
        <v>107300</v>
      </c>
      <c r="H81" s="263">
        <f>IF(G81&gt;0,G81*0.12/12*3,0)</f>
        <v>3219</v>
      </c>
      <c r="I81" s="181"/>
      <c r="J81" s="264" t="s">
        <v>169</v>
      </c>
      <c r="K81" s="265">
        <f>+H86</f>
        <v>36684</v>
      </c>
      <c r="L81" s="242"/>
    </row>
    <row r="82" spans="1:12" ht="15" customHeight="1" x14ac:dyDescent="0.25">
      <c r="A82" s="261">
        <v>0.36</v>
      </c>
      <c r="B82" s="262"/>
      <c r="C82" s="246"/>
      <c r="D82" s="262">
        <v>44089</v>
      </c>
      <c r="E82" s="246">
        <f>E79*0.45</f>
        <v>321961.5</v>
      </c>
      <c r="F82" s="246">
        <f>ROUNDDOWN(+E82,-2)</f>
        <v>321900</v>
      </c>
      <c r="G82" s="246">
        <f>(F82-C82-C81)</f>
        <v>321900</v>
      </c>
      <c r="H82" s="263">
        <f>IF(G82&gt;0,G82*0.12/12*3,0)</f>
        <v>9657</v>
      </c>
      <c r="I82" s="181"/>
      <c r="J82" s="264" t="s">
        <v>170</v>
      </c>
      <c r="K82" s="265">
        <f>+K81</f>
        <v>36684</v>
      </c>
      <c r="L82" s="242"/>
    </row>
    <row r="83" spans="1:12" ht="15" customHeight="1" x14ac:dyDescent="0.25">
      <c r="A83" s="261"/>
      <c r="B83" s="266" t="s">
        <v>171</v>
      </c>
      <c r="C83" s="246"/>
      <c r="D83" s="262">
        <v>44180</v>
      </c>
      <c r="E83" s="246">
        <f>G79*0.75</f>
        <v>549472.5</v>
      </c>
      <c r="F83" s="246">
        <f>ROUNDDOWN(+E83,-2)</f>
        <v>549400</v>
      </c>
      <c r="G83" s="246">
        <f>(F83-(C81+C82+C83))</f>
        <v>549400</v>
      </c>
      <c r="H83" s="263">
        <f>IF(G83&gt;0,G83*0.12/12*3,0)</f>
        <v>16482</v>
      </c>
      <c r="I83" s="181"/>
      <c r="J83" s="264" t="s">
        <v>172</v>
      </c>
      <c r="K83" s="265">
        <f>+K81</f>
        <v>36684</v>
      </c>
      <c r="L83" s="242"/>
    </row>
    <row r="84" spans="1:12" ht="15" customHeight="1" x14ac:dyDescent="0.25">
      <c r="A84" s="267"/>
      <c r="B84" s="262"/>
      <c r="C84" s="246"/>
      <c r="D84" s="262">
        <v>44270</v>
      </c>
      <c r="E84" s="246">
        <f>G79*1</f>
        <v>732630</v>
      </c>
      <c r="F84" s="246">
        <f>ROUNDDOWN(+E84,-2)</f>
        <v>732600</v>
      </c>
      <c r="G84" s="246">
        <f>(F84-(C81+C82+C83+C84))</f>
        <v>732600</v>
      </c>
      <c r="H84" s="263">
        <f>IF(G84&gt;0,G84*0.12/12,0)</f>
        <v>7326</v>
      </c>
      <c r="I84" s="268"/>
      <c r="J84" s="269"/>
      <c r="K84" s="270"/>
      <c r="L84" s="242"/>
    </row>
    <row r="85" spans="1:12" ht="15" customHeight="1" x14ac:dyDescent="0.25">
      <c r="A85" s="267"/>
      <c r="B85" s="262"/>
      <c r="C85" s="246"/>
      <c r="D85" s="262">
        <v>44286</v>
      </c>
      <c r="E85" s="181"/>
      <c r="F85" s="268"/>
      <c r="G85" s="268"/>
      <c r="H85" s="245"/>
      <c r="I85" s="181"/>
      <c r="J85" s="271"/>
      <c r="K85" s="182"/>
      <c r="L85" s="242"/>
    </row>
    <row r="86" spans="1:12" ht="15" customHeight="1" thickBot="1" x14ac:dyDescent="0.3">
      <c r="A86" s="234"/>
      <c r="B86" s="236"/>
      <c r="C86" s="272">
        <f>SUM(C81:C85)</f>
        <v>0</v>
      </c>
      <c r="D86" s="236"/>
      <c r="E86" s="236"/>
      <c r="F86" s="236"/>
      <c r="G86" s="236"/>
      <c r="H86" s="273">
        <f>SUM(H81:H85)</f>
        <v>36684</v>
      </c>
      <c r="I86" s="181"/>
      <c r="J86" s="271"/>
      <c r="K86" s="182"/>
      <c r="L86" s="242"/>
    </row>
    <row r="87" spans="1:12" ht="15" customHeight="1" thickTop="1" thickBot="1" x14ac:dyDescent="0.3">
      <c r="A87" s="274"/>
      <c r="B87" s="275"/>
      <c r="C87" s="276"/>
      <c r="D87" s="275"/>
      <c r="E87" s="275"/>
      <c r="F87" s="275"/>
      <c r="G87" s="275"/>
      <c r="H87" s="275"/>
      <c r="I87" s="277"/>
      <c r="J87" s="278"/>
      <c r="K87" s="279"/>
      <c r="L87" s="242"/>
    </row>
    <row r="88" spans="1:12" ht="15" customHeight="1" x14ac:dyDescent="0.25">
      <c r="A88" s="234"/>
      <c r="B88" s="235" t="s">
        <v>173</v>
      </c>
      <c r="C88" s="280"/>
      <c r="D88" s="236"/>
      <c r="E88" s="236"/>
      <c r="F88" s="236"/>
      <c r="G88" s="236"/>
      <c r="H88" s="281" t="s">
        <v>166</v>
      </c>
      <c r="I88" s="181"/>
      <c r="J88" s="271"/>
      <c r="K88" s="182"/>
      <c r="L88" s="242"/>
    </row>
    <row r="89" spans="1:12" ht="15" customHeight="1" x14ac:dyDescent="0.25">
      <c r="A89" s="234"/>
      <c r="B89" s="243" t="s">
        <v>154</v>
      </c>
      <c r="C89" s="236"/>
      <c r="D89" s="236"/>
      <c r="E89" s="246">
        <f>+G76</f>
        <v>3057630</v>
      </c>
      <c r="F89" s="236"/>
      <c r="G89" s="282">
        <v>44287</v>
      </c>
      <c r="H89" s="263">
        <f>F99*0.01</f>
        <v>7326</v>
      </c>
      <c r="I89" s="181"/>
      <c r="J89" s="271"/>
      <c r="K89" s="182"/>
      <c r="L89" s="242"/>
    </row>
    <row r="90" spans="1:12" ht="15" customHeight="1" x14ac:dyDescent="0.25">
      <c r="A90" s="234"/>
      <c r="B90" s="283" t="s">
        <v>174</v>
      </c>
      <c r="C90" s="236"/>
      <c r="D90" s="236"/>
      <c r="E90" s="246">
        <f>+G77</f>
        <v>-2325000</v>
      </c>
      <c r="F90" s="236"/>
      <c r="G90" s="282">
        <v>44317</v>
      </c>
      <c r="H90" s="263">
        <f>+H89</f>
        <v>7326</v>
      </c>
      <c r="I90" s="181"/>
      <c r="J90" s="271"/>
      <c r="K90" s="182"/>
      <c r="L90" s="242"/>
    </row>
    <row r="91" spans="1:12" ht="15" customHeight="1" thickBot="1" x14ac:dyDescent="0.3">
      <c r="A91" s="234"/>
      <c r="B91" s="283"/>
      <c r="C91" s="236"/>
      <c r="D91" s="236"/>
      <c r="E91" s="251">
        <f>E89+E90</f>
        <v>732630</v>
      </c>
      <c r="F91" s="181"/>
      <c r="G91" s="282">
        <v>44348</v>
      </c>
      <c r="H91" s="263">
        <f>+H90</f>
        <v>7326</v>
      </c>
      <c r="I91" s="181"/>
      <c r="J91" s="271"/>
      <c r="K91" s="182"/>
      <c r="L91" s="242"/>
    </row>
    <row r="92" spans="1:12" ht="15" customHeight="1" thickTop="1" x14ac:dyDescent="0.25">
      <c r="A92" s="234"/>
      <c r="B92" s="181"/>
      <c r="C92" s="181"/>
      <c r="D92" s="181"/>
      <c r="E92" s="181"/>
      <c r="F92" s="236"/>
      <c r="G92" s="282">
        <v>44378</v>
      </c>
      <c r="H92" s="263">
        <f>+H90</f>
        <v>7326</v>
      </c>
      <c r="I92" s="181"/>
      <c r="J92" s="271"/>
      <c r="K92" s="182"/>
      <c r="L92" s="67"/>
    </row>
    <row r="93" spans="1:12" ht="15" customHeight="1" x14ac:dyDescent="0.25">
      <c r="A93" s="234"/>
      <c r="B93" s="236" t="s">
        <v>175</v>
      </c>
      <c r="C93" s="280"/>
      <c r="D93" s="284">
        <v>0.9</v>
      </c>
      <c r="E93" s="285">
        <f>ROUND(E91*90%,0)</f>
        <v>659367</v>
      </c>
      <c r="F93" s="236"/>
      <c r="G93" s="282">
        <v>44409</v>
      </c>
      <c r="H93" s="263">
        <f>+H90</f>
        <v>7326</v>
      </c>
      <c r="I93" s="286" t="s">
        <v>167</v>
      </c>
      <c r="J93" s="286"/>
      <c r="K93" s="287" t="s">
        <v>176</v>
      </c>
      <c r="L93" s="242"/>
    </row>
    <row r="94" spans="1:12" ht="15" customHeight="1" x14ac:dyDescent="0.25">
      <c r="A94" s="234"/>
      <c r="B94" s="236" t="s">
        <v>177</v>
      </c>
      <c r="C94" s="280"/>
      <c r="D94" s="236"/>
      <c r="E94" s="246">
        <f>ROUND(+C86,0)</f>
        <v>0</v>
      </c>
      <c r="F94" s="236"/>
      <c r="G94" s="282">
        <v>44440</v>
      </c>
      <c r="H94" s="288">
        <f>+H93</f>
        <v>7326</v>
      </c>
      <c r="I94" s="181"/>
      <c r="J94" s="289" t="s">
        <v>169</v>
      </c>
      <c r="K94" s="290">
        <v>51282</v>
      </c>
      <c r="L94" s="67"/>
    </row>
    <row r="95" spans="1:12" ht="15" customHeight="1" x14ac:dyDescent="0.25">
      <c r="A95" s="234"/>
      <c r="B95" s="181" t="s">
        <v>178</v>
      </c>
      <c r="C95" s="280"/>
      <c r="D95" s="236"/>
      <c r="E95" s="246">
        <f>E91-E94</f>
        <v>732630</v>
      </c>
      <c r="F95" s="246">
        <f>ROUNDDOWN(E95,-2)</f>
        <v>732600</v>
      </c>
      <c r="G95" s="282">
        <v>44470</v>
      </c>
      <c r="H95" s="288">
        <f>+H94</f>
        <v>7326</v>
      </c>
      <c r="I95" s="181"/>
      <c r="J95" s="289" t="s">
        <v>170</v>
      </c>
      <c r="K95" s="290">
        <f>K94+H89</f>
        <v>58608</v>
      </c>
      <c r="L95" s="66"/>
    </row>
    <row r="96" spans="1:12" ht="15" customHeight="1" x14ac:dyDescent="0.25">
      <c r="A96" s="234"/>
      <c r="B96" s="291">
        <v>44303</v>
      </c>
      <c r="C96" s="236" t="s">
        <v>179</v>
      </c>
      <c r="D96" s="236"/>
      <c r="E96" s="292">
        <f>+G50</f>
        <v>34000</v>
      </c>
      <c r="F96" s="236"/>
      <c r="G96" s="282">
        <v>44501</v>
      </c>
      <c r="H96" s="181"/>
      <c r="I96" s="181"/>
      <c r="J96" s="289" t="s">
        <v>172</v>
      </c>
      <c r="K96" s="290">
        <f>K95+H89</f>
        <v>65934</v>
      </c>
      <c r="L96" s="66"/>
    </row>
    <row r="97" spans="1:12" ht="15" customHeight="1" x14ac:dyDescent="0.25">
      <c r="A97" s="234"/>
      <c r="B97" s="181"/>
      <c r="C97" s="293" t="s">
        <v>180</v>
      </c>
      <c r="D97" s="181"/>
      <c r="E97" s="292">
        <v>34000</v>
      </c>
      <c r="F97" s="236"/>
      <c r="G97" s="282">
        <v>44531</v>
      </c>
      <c r="H97" s="294"/>
      <c r="I97" s="181"/>
      <c r="J97" s="271"/>
      <c r="K97" s="182"/>
      <c r="L97" s="66"/>
    </row>
    <row r="98" spans="1:12" ht="15" customHeight="1" thickBot="1" x14ac:dyDescent="0.3">
      <c r="A98" s="234"/>
      <c r="B98" s="181"/>
      <c r="C98" s="243" t="s">
        <v>181</v>
      </c>
      <c r="D98" s="181"/>
      <c r="E98" s="295">
        <f>E96-E97</f>
        <v>0</v>
      </c>
      <c r="F98" s="236"/>
      <c r="G98" s="236"/>
      <c r="H98" s="273">
        <f>SUM(H89:H97)</f>
        <v>51282</v>
      </c>
      <c r="I98" s="181"/>
      <c r="J98" s="271"/>
      <c r="K98" s="182"/>
      <c r="L98" s="66"/>
    </row>
    <row r="99" spans="1:12" ht="15" customHeight="1" thickTop="1" x14ac:dyDescent="0.25">
      <c r="A99" s="234"/>
      <c r="B99" s="181" t="s">
        <v>182</v>
      </c>
      <c r="C99" s="243"/>
      <c r="D99" s="181"/>
      <c r="E99" s="296">
        <f>E95-E98</f>
        <v>732630</v>
      </c>
      <c r="F99" s="246">
        <f>ROUNDDOWN(E99,-2)</f>
        <v>732600</v>
      </c>
      <c r="G99" s="236"/>
      <c r="H99" s="294"/>
      <c r="I99" s="181"/>
      <c r="J99" s="271"/>
      <c r="K99" s="182"/>
      <c r="L99" s="66"/>
    </row>
    <row r="100" spans="1:12" ht="15" customHeight="1" thickBot="1" x14ac:dyDescent="0.3">
      <c r="A100" s="274"/>
      <c r="B100" s="277"/>
      <c r="C100" s="297"/>
      <c r="D100" s="277"/>
      <c r="E100" s="298"/>
      <c r="F100" s="299"/>
      <c r="G100" s="275"/>
      <c r="H100" s="300"/>
      <c r="I100" s="301"/>
      <c r="J100" s="300"/>
      <c r="K100" s="279"/>
    </row>
    <row r="101" spans="1:12" ht="15" customHeight="1" x14ac:dyDescent="0.25">
      <c r="A101" s="234"/>
      <c r="B101" s="235" t="s">
        <v>183</v>
      </c>
      <c r="C101" s="302"/>
      <c r="D101" s="302"/>
      <c r="E101" s="302"/>
      <c r="F101" s="302"/>
      <c r="G101" s="302"/>
      <c r="H101" s="302"/>
      <c r="I101" s="302"/>
      <c r="J101" s="294"/>
      <c r="K101" s="182"/>
    </row>
    <row r="102" spans="1:12" s="47" customFormat="1" ht="15" customHeight="1" x14ac:dyDescent="0.25">
      <c r="A102" s="234"/>
      <c r="B102" s="243" t="s">
        <v>154</v>
      </c>
      <c r="C102" s="236"/>
      <c r="D102" s="236"/>
      <c r="E102" s="246">
        <f>+G76</f>
        <v>3057630</v>
      </c>
      <c r="F102" s="302"/>
      <c r="G102" s="236"/>
      <c r="H102" s="281" t="s">
        <v>166</v>
      </c>
      <c r="I102" s="302"/>
      <c r="J102" s="294"/>
      <c r="K102" s="182"/>
      <c r="L102" s="53"/>
    </row>
    <row r="103" spans="1:12" s="47" customFormat="1" ht="15" customHeight="1" x14ac:dyDescent="0.25">
      <c r="A103" s="234"/>
      <c r="B103" s="283" t="s">
        <v>184</v>
      </c>
      <c r="C103" s="236"/>
      <c r="D103" s="236"/>
      <c r="E103" s="246">
        <f>+G77</f>
        <v>-2325000</v>
      </c>
      <c r="F103" s="302"/>
      <c r="G103" s="282">
        <v>44409</v>
      </c>
      <c r="H103" s="263">
        <f>E109*0.01</f>
        <v>7326</v>
      </c>
      <c r="I103" s="303" t="s">
        <v>167</v>
      </c>
      <c r="J103" s="303"/>
      <c r="K103" s="304" t="s">
        <v>185</v>
      </c>
      <c r="L103" s="53"/>
    </row>
    <row r="104" spans="1:12" s="47" customFormat="1" ht="15" customHeight="1" x14ac:dyDescent="0.25">
      <c r="A104" s="234"/>
      <c r="B104" s="283" t="s">
        <v>186</v>
      </c>
      <c r="C104" s="236"/>
      <c r="D104" s="236"/>
      <c r="E104" s="246"/>
      <c r="F104" s="302"/>
      <c r="G104" s="282">
        <v>44440</v>
      </c>
      <c r="H104" s="263">
        <f>+H103</f>
        <v>7326</v>
      </c>
      <c r="I104" s="302"/>
      <c r="J104" s="305" t="s">
        <v>169</v>
      </c>
      <c r="K104" s="306">
        <v>21978</v>
      </c>
      <c r="L104" s="53"/>
    </row>
    <row r="105" spans="1:12" s="47" customFormat="1" ht="15" customHeight="1" x14ac:dyDescent="0.25">
      <c r="A105" s="234"/>
      <c r="B105" s="283" t="s">
        <v>187</v>
      </c>
      <c r="C105" s="236"/>
      <c r="D105" s="236"/>
      <c r="E105" s="307">
        <v>34000</v>
      </c>
      <c r="F105" s="302"/>
      <c r="G105" s="282">
        <v>44470</v>
      </c>
      <c r="H105" s="263">
        <f>+H104</f>
        <v>7326</v>
      </c>
      <c r="I105" s="302"/>
      <c r="J105" s="305" t="s">
        <v>170</v>
      </c>
      <c r="K105" s="306">
        <f>K104+H103</f>
        <v>29304</v>
      </c>
      <c r="L105" s="53"/>
    </row>
    <row r="106" spans="1:12" s="47" customFormat="1" ht="14.4" customHeight="1" x14ac:dyDescent="0.25">
      <c r="A106" s="234"/>
      <c r="B106" s="283" t="s">
        <v>188</v>
      </c>
      <c r="C106" s="236"/>
      <c r="D106" s="236"/>
      <c r="E106" s="196"/>
      <c r="F106" s="302"/>
      <c r="G106" s="282">
        <v>44501</v>
      </c>
      <c r="H106" s="263"/>
      <c r="I106" s="302"/>
      <c r="J106" s="305" t="s">
        <v>172</v>
      </c>
      <c r="K106" s="306">
        <f>K105+H103</f>
        <v>36630</v>
      </c>
      <c r="L106" s="53"/>
    </row>
    <row r="107" spans="1:12" s="47" customFormat="1" ht="15" customHeight="1" x14ac:dyDescent="0.25">
      <c r="A107" s="234"/>
      <c r="B107" s="283" t="s">
        <v>189</v>
      </c>
      <c r="C107" s="236"/>
      <c r="D107" s="236"/>
      <c r="E107" s="308">
        <v>-34000</v>
      </c>
      <c r="F107" s="302"/>
      <c r="G107" s="282">
        <v>44531</v>
      </c>
      <c r="H107" s="263"/>
      <c r="I107" s="302"/>
      <c r="J107" s="294"/>
      <c r="K107" s="182"/>
      <c r="L107" s="53"/>
    </row>
    <row r="108" spans="1:12" s="47" customFormat="1" ht="14.4" customHeight="1" thickBot="1" x14ac:dyDescent="0.3">
      <c r="A108" s="234"/>
      <c r="B108" s="181"/>
      <c r="C108" s="181"/>
      <c r="D108" s="181"/>
      <c r="E108" s="251">
        <f>SUM(E102:E107)</f>
        <v>732630</v>
      </c>
      <c r="F108" s="302"/>
      <c r="G108" s="309"/>
      <c r="H108" s="273">
        <f>SUM(H103:H107)</f>
        <v>21978</v>
      </c>
      <c r="I108" s="310"/>
      <c r="J108" s="311"/>
      <c r="K108" s="312"/>
      <c r="L108" s="53"/>
    </row>
    <row r="109" spans="1:12" s="47" customFormat="1" ht="15" customHeight="1" thickTop="1" thickBot="1" x14ac:dyDescent="0.3">
      <c r="A109" s="274"/>
      <c r="B109" s="277"/>
      <c r="C109" s="275"/>
      <c r="D109" s="275"/>
      <c r="E109" s="299">
        <f>ROUNDDOWN(+E108,-2)</f>
        <v>732600</v>
      </c>
      <c r="F109" s="301"/>
      <c r="G109" s="301"/>
      <c r="H109" s="301"/>
      <c r="I109" s="313"/>
      <c r="J109" s="314"/>
      <c r="K109" s="315"/>
      <c r="L109" s="53"/>
    </row>
    <row r="110" spans="1:12" ht="15" customHeight="1" thickBot="1" x14ac:dyDescent="0.3"/>
    <row r="111" spans="1:12" s="47" customFormat="1" ht="15" customHeight="1" x14ac:dyDescent="0.25">
      <c r="A111" s="316" t="s">
        <v>190</v>
      </c>
      <c r="B111" s="317"/>
      <c r="C111" s="317"/>
      <c r="D111" s="317"/>
      <c r="E111" s="317"/>
      <c r="F111" s="317"/>
      <c r="G111" s="318" t="s">
        <v>191</v>
      </c>
      <c r="H111" s="319"/>
      <c r="J111" s="320"/>
      <c r="K111" s="321"/>
      <c r="L111" s="53"/>
    </row>
    <row r="112" spans="1:12" s="47" customFormat="1" ht="15" customHeight="1" x14ac:dyDescent="0.25">
      <c r="A112" s="322" t="s">
        <v>192</v>
      </c>
      <c r="H112" s="92"/>
      <c r="J112" s="320"/>
      <c r="K112" s="323"/>
      <c r="L112" s="53"/>
    </row>
    <row r="113" spans="1:12" s="47" customFormat="1" ht="15" customHeight="1" x14ac:dyDescent="0.25">
      <c r="A113" s="322" t="s">
        <v>193</v>
      </c>
      <c r="H113" s="92"/>
      <c r="J113" s="320"/>
      <c r="K113" s="323"/>
      <c r="L113" s="53"/>
    </row>
    <row r="114" spans="1:12" s="47" customFormat="1" ht="15" customHeight="1" x14ac:dyDescent="0.2">
      <c r="A114" s="324" t="s">
        <v>194</v>
      </c>
      <c r="B114" s="325" t="s">
        <v>195</v>
      </c>
      <c r="C114" s="325"/>
      <c r="D114" s="325"/>
      <c r="E114" s="325"/>
      <c r="F114" s="325"/>
      <c r="G114" s="325"/>
      <c r="H114" s="326"/>
      <c r="I114" s="30"/>
      <c r="J114" s="320"/>
      <c r="K114" s="327" t="s">
        <v>196</v>
      </c>
      <c r="L114" s="53"/>
    </row>
    <row r="115" spans="1:12" s="47" customFormat="1" ht="26.25" customHeight="1" x14ac:dyDescent="0.2">
      <c r="A115" s="324" t="s">
        <v>197</v>
      </c>
      <c r="B115" s="325" t="s">
        <v>198</v>
      </c>
      <c r="C115" s="325"/>
      <c r="D115" s="325"/>
      <c r="E115" s="325"/>
      <c r="F115" s="325"/>
      <c r="G115" s="325"/>
      <c r="H115" s="326"/>
      <c r="I115" s="30"/>
      <c r="J115" s="320"/>
      <c r="K115" s="327" t="s">
        <v>199</v>
      </c>
      <c r="L115" s="53"/>
    </row>
    <row r="116" spans="1:12" s="47" customFormat="1" ht="26.25" customHeight="1" x14ac:dyDescent="0.2">
      <c r="A116" s="324" t="s">
        <v>200</v>
      </c>
      <c r="B116" s="325" t="s">
        <v>201</v>
      </c>
      <c r="C116" s="325"/>
      <c r="D116" s="325"/>
      <c r="E116" s="325"/>
      <c r="F116" s="325"/>
      <c r="G116" s="325"/>
      <c r="H116" s="326"/>
      <c r="I116" s="30"/>
      <c r="J116" s="320"/>
      <c r="K116" s="327" t="s">
        <v>202</v>
      </c>
      <c r="L116" s="53"/>
    </row>
    <row r="117" spans="1:12" s="47" customFormat="1" ht="26.25" customHeight="1" x14ac:dyDescent="0.2">
      <c r="A117" s="324" t="s">
        <v>203</v>
      </c>
      <c r="B117" s="325" t="s">
        <v>204</v>
      </c>
      <c r="C117" s="325"/>
      <c r="D117" s="325"/>
      <c r="E117" s="325"/>
      <c r="F117" s="325"/>
      <c r="G117" s="325"/>
      <c r="H117" s="326"/>
      <c r="I117" s="30"/>
      <c r="J117" s="320"/>
      <c r="K117" s="327" t="s">
        <v>205</v>
      </c>
      <c r="L117" s="53"/>
    </row>
    <row r="118" spans="1:12" s="47" customFormat="1" ht="15" customHeight="1" x14ac:dyDescent="0.2">
      <c r="A118" s="324" t="s">
        <v>206</v>
      </c>
      <c r="B118" s="325" t="s">
        <v>207</v>
      </c>
      <c r="C118" s="325"/>
      <c r="D118" s="325"/>
      <c r="E118" s="325"/>
      <c r="F118" s="325"/>
      <c r="G118" s="325"/>
      <c r="H118" s="326"/>
      <c r="I118" s="30"/>
      <c r="J118" s="320"/>
      <c r="K118" s="327" t="s">
        <v>208</v>
      </c>
      <c r="L118" s="53"/>
    </row>
    <row r="119" spans="1:12" s="47" customFormat="1" ht="15" customHeight="1" x14ac:dyDescent="0.2">
      <c r="A119" s="324" t="s">
        <v>209</v>
      </c>
      <c r="B119" s="325" t="s">
        <v>210</v>
      </c>
      <c r="C119" s="325"/>
      <c r="D119" s="325"/>
      <c r="E119" s="325"/>
      <c r="F119" s="325"/>
      <c r="G119" s="325"/>
      <c r="H119" s="326"/>
      <c r="I119" s="30"/>
      <c r="J119" s="320"/>
      <c r="K119" s="327" t="s">
        <v>211</v>
      </c>
      <c r="L119" s="53"/>
    </row>
    <row r="120" spans="1:12" s="47" customFormat="1" ht="25.5" customHeight="1" x14ac:dyDescent="0.2">
      <c r="A120" s="328"/>
      <c r="B120" s="329" t="s">
        <v>212</v>
      </c>
      <c r="C120" s="329"/>
      <c r="D120" s="329"/>
      <c r="E120" s="329"/>
      <c r="F120" s="329"/>
      <c r="G120" s="329"/>
      <c r="H120" s="330"/>
      <c r="J120" s="320"/>
    </row>
    <row r="121" spans="1:12" s="47" customFormat="1" ht="15" customHeight="1" thickBot="1" x14ac:dyDescent="0.25">
      <c r="A121" s="331"/>
      <c r="B121" s="332" t="s">
        <v>213</v>
      </c>
      <c r="C121" s="332"/>
      <c r="D121" s="332"/>
      <c r="E121" s="332"/>
      <c r="F121" s="332"/>
      <c r="G121" s="332"/>
      <c r="H121" s="333"/>
      <c r="J121" s="320"/>
    </row>
    <row r="122" spans="1:12" s="47" customFormat="1" ht="15" customHeight="1" thickBot="1" x14ac:dyDescent="0.25">
      <c r="A122" s="334"/>
      <c r="B122" s="335"/>
      <c r="C122" s="335"/>
      <c r="D122" s="335"/>
      <c r="E122" s="335"/>
      <c r="F122" s="335"/>
      <c r="G122" s="335"/>
      <c r="J122" s="320"/>
    </row>
    <row r="123" spans="1:12" s="47" customFormat="1" ht="15" customHeight="1" x14ac:dyDescent="0.25">
      <c r="A123" s="316" t="s">
        <v>190</v>
      </c>
      <c r="B123" s="336"/>
      <c r="C123" s="336"/>
      <c r="D123" s="336"/>
      <c r="E123" s="336"/>
      <c r="F123" s="336"/>
      <c r="G123" s="337" t="s">
        <v>214</v>
      </c>
      <c r="H123" s="338"/>
      <c r="J123" s="320"/>
    </row>
    <row r="124" spans="1:12" ht="15" customHeight="1" x14ac:dyDescent="0.25">
      <c r="A124" s="322" t="s">
        <v>215</v>
      </c>
      <c r="C124" s="339"/>
      <c r="D124" s="339"/>
      <c r="E124" s="339"/>
      <c r="F124" s="340"/>
      <c r="G124" s="341"/>
      <c r="H124" s="99"/>
      <c r="J124" s="320"/>
    </row>
    <row r="125" spans="1:12" ht="15" customHeight="1" x14ac:dyDescent="0.25">
      <c r="A125" s="322" t="s">
        <v>216</v>
      </c>
      <c r="C125" s="339"/>
      <c r="D125" s="339"/>
      <c r="E125" s="339"/>
      <c r="F125" s="340"/>
      <c r="G125" s="341"/>
      <c r="H125" s="99"/>
      <c r="J125" s="320"/>
    </row>
    <row r="126" spans="1:12" ht="15" customHeight="1" x14ac:dyDescent="0.25">
      <c r="A126" s="28"/>
      <c r="B126" s="342" t="s">
        <v>217</v>
      </c>
      <c r="D126" s="342" t="s">
        <v>218</v>
      </c>
      <c r="F126" s="340"/>
      <c r="G126" s="341"/>
      <c r="H126" s="99"/>
      <c r="J126" s="320"/>
    </row>
    <row r="127" spans="1:12" ht="15" customHeight="1" x14ac:dyDescent="0.25">
      <c r="A127" s="28"/>
      <c r="B127" s="342" t="s">
        <v>219</v>
      </c>
      <c r="D127" s="342" t="s">
        <v>220</v>
      </c>
      <c r="F127" s="340"/>
      <c r="G127" s="341"/>
      <c r="H127" s="99"/>
      <c r="J127" s="320"/>
    </row>
    <row r="128" spans="1:12" ht="15" customHeight="1" x14ac:dyDescent="0.25">
      <c r="A128" s="28"/>
      <c r="B128" s="342" t="s">
        <v>221</v>
      </c>
      <c r="D128" s="342" t="s">
        <v>222</v>
      </c>
      <c r="F128" s="340"/>
      <c r="G128" s="341"/>
      <c r="H128" s="99"/>
      <c r="J128" s="320"/>
    </row>
    <row r="129" spans="1:10" ht="15" customHeight="1" x14ac:dyDescent="0.25">
      <c r="A129" s="28"/>
      <c r="B129" s="343" t="s">
        <v>223</v>
      </c>
      <c r="D129" s="342" t="s">
        <v>224</v>
      </c>
      <c r="F129" s="340"/>
      <c r="G129" s="341"/>
      <c r="H129" s="99"/>
      <c r="J129" s="320"/>
    </row>
    <row r="130" spans="1:10" ht="15" customHeight="1" x14ac:dyDescent="0.25">
      <c r="A130" s="28"/>
      <c r="B130" s="342" t="s">
        <v>225</v>
      </c>
      <c r="D130" s="342" t="s">
        <v>226</v>
      </c>
      <c r="F130" s="340"/>
      <c r="G130" s="341"/>
      <c r="H130" s="99"/>
      <c r="J130" s="320"/>
    </row>
    <row r="131" spans="1:10" ht="15" customHeight="1" x14ac:dyDescent="0.25">
      <c r="A131" s="28"/>
      <c r="B131" s="342" t="s">
        <v>227</v>
      </c>
      <c r="D131" s="342" t="s">
        <v>228</v>
      </c>
      <c r="F131" s="340"/>
      <c r="G131" s="341"/>
      <c r="H131" s="99"/>
      <c r="J131" s="7"/>
    </row>
    <row r="132" spans="1:10" ht="15" customHeight="1" x14ac:dyDescent="0.25">
      <c r="A132" s="28"/>
      <c r="B132" s="343" t="s">
        <v>229</v>
      </c>
      <c r="D132" s="342" t="s">
        <v>230</v>
      </c>
      <c r="F132" s="340"/>
      <c r="G132" s="341"/>
      <c r="H132" s="99"/>
      <c r="J132" s="7"/>
    </row>
    <row r="133" spans="1:10" ht="15" customHeight="1" thickBot="1" x14ac:dyDescent="0.3">
      <c r="A133" s="344"/>
      <c r="B133" s="345" t="s">
        <v>231</v>
      </c>
      <c r="C133" s="346"/>
      <c r="D133" s="345" t="s">
        <v>232</v>
      </c>
      <c r="E133" s="346"/>
      <c r="F133" s="346"/>
      <c r="G133" s="346"/>
      <c r="H133" s="347"/>
      <c r="J133" s="7"/>
    </row>
    <row r="134" spans="1:10" ht="15" customHeight="1" thickBot="1" x14ac:dyDescent="0.3">
      <c r="J134" s="7"/>
    </row>
    <row r="135" spans="1:10" ht="15" customHeight="1" x14ac:dyDescent="0.25">
      <c r="B135" s="348" t="s">
        <v>233</v>
      </c>
      <c r="C135" s="349"/>
      <c r="D135" s="350"/>
      <c r="E135" s="351" t="s">
        <v>234</v>
      </c>
      <c r="F135" s="352"/>
      <c r="G135" s="351" t="s">
        <v>235</v>
      </c>
      <c r="H135" s="353"/>
      <c r="J135" s="7"/>
    </row>
    <row r="136" spans="1:10" ht="15" customHeight="1" x14ac:dyDescent="0.25">
      <c r="B136" s="354" t="s">
        <v>9</v>
      </c>
      <c r="C136" s="355"/>
      <c r="D136" s="214"/>
      <c r="E136" s="356" t="s">
        <v>236</v>
      </c>
      <c r="G136" s="356" t="s">
        <v>237</v>
      </c>
      <c r="H136" s="99"/>
      <c r="J136" s="7"/>
    </row>
    <row r="137" spans="1:10" ht="15" customHeight="1" x14ac:dyDescent="0.25">
      <c r="B137" s="354" t="s">
        <v>238</v>
      </c>
      <c r="C137" s="355"/>
      <c r="D137" s="214"/>
      <c r="E137" s="356" t="s">
        <v>239</v>
      </c>
      <c r="G137" s="356" t="s">
        <v>240</v>
      </c>
      <c r="H137" s="99"/>
      <c r="J137" s="7"/>
    </row>
    <row r="138" spans="1:10" ht="15" customHeight="1" x14ac:dyDescent="0.25">
      <c r="B138" s="354" t="s">
        <v>13</v>
      </c>
      <c r="C138" s="355"/>
      <c r="D138" s="214"/>
      <c r="E138" s="356" t="s">
        <v>241</v>
      </c>
      <c r="H138" s="99"/>
      <c r="J138" s="7"/>
    </row>
    <row r="139" spans="1:10" ht="15" customHeight="1" x14ac:dyDescent="0.25">
      <c r="B139" s="354" t="s">
        <v>18</v>
      </c>
      <c r="C139" s="355"/>
      <c r="D139" s="214"/>
      <c r="E139" s="356" t="s">
        <v>242</v>
      </c>
      <c r="H139" s="99"/>
      <c r="J139" s="7"/>
    </row>
    <row r="140" spans="1:10" ht="15" customHeight="1" x14ac:dyDescent="0.25">
      <c r="B140" s="354" t="s">
        <v>243</v>
      </c>
      <c r="C140" s="355"/>
      <c r="D140" s="214"/>
      <c r="H140" s="99"/>
      <c r="J140" s="7"/>
    </row>
    <row r="141" spans="1:10" ht="15" customHeight="1" x14ac:dyDescent="0.25">
      <c r="B141" s="354" t="s">
        <v>244</v>
      </c>
      <c r="C141" s="355"/>
      <c r="D141" s="214"/>
      <c r="H141" s="99"/>
      <c r="J141" s="7"/>
    </row>
    <row r="142" spans="1:10" ht="15" customHeight="1" x14ac:dyDescent="0.25">
      <c r="B142" s="354" t="s">
        <v>245</v>
      </c>
      <c r="C142" s="355"/>
      <c r="D142" s="357">
        <f>SUM(C136:C142)</f>
        <v>0</v>
      </c>
      <c r="H142" s="99"/>
      <c r="J142" s="7"/>
    </row>
    <row r="143" spans="1:10" ht="15" customHeight="1" x14ac:dyDescent="0.25">
      <c r="B143" s="358" t="s">
        <v>246</v>
      </c>
      <c r="C143" s="355"/>
      <c r="D143" s="339"/>
      <c r="E143" s="359"/>
      <c r="H143" s="99"/>
      <c r="J143" s="7"/>
    </row>
    <row r="144" spans="1:10" ht="15" customHeight="1" x14ac:dyDescent="0.25">
      <c r="B144" s="354" t="s">
        <v>247</v>
      </c>
      <c r="C144" s="360"/>
      <c r="D144" s="339"/>
      <c r="H144" s="99"/>
      <c r="J144" s="7"/>
    </row>
    <row r="145" spans="1:11" ht="15" customHeight="1" x14ac:dyDescent="0.25">
      <c r="B145" s="354" t="s">
        <v>248</v>
      </c>
      <c r="C145" s="360"/>
      <c r="D145" s="339"/>
      <c r="H145" s="99"/>
      <c r="J145" s="7"/>
    </row>
    <row r="146" spans="1:11" ht="15" customHeight="1" x14ac:dyDescent="0.25">
      <c r="B146" s="354" t="s">
        <v>125</v>
      </c>
      <c r="C146" s="360"/>
      <c r="D146" s="339">
        <f>SUM(C144:C146)</f>
        <v>0</v>
      </c>
      <c r="H146" s="99"/>
      <c r="J146" s="7"/>
    </row>
    <row r="147" spans="1:11" ht="15" customHeight="1" thickBot="1" x14ac:dyDescent="0.3">
      <c r="B147" s="361" t="s">
        <v>249</v>
      </c>
      <c r="C147" s="362"/>
      <c r="D147" s="363"/>
      <c r="E147" s="346"/>
      <c r="F147" s="346"/>
      <c r="G147" s="346"/>
      <c r="H147" s="347"/>
      <c r="J147" s="7"/>
    </row>
    <row r="148" spans="1:11" ht="15" customHeight="1" x14ac:dyDescent="0.25">
      <c r="B148" s="339"/>
      <c r="D148" s="364">
        <f>D142+D146+D147</f>
        <v>0</v>
      </c>
      <c r="J148" s="7"/>
    </row>
    <row r="149" spans="1:11" ht="15" customHeight="1" x14ac:dyDescent="0.25">
      <c r="J149" s="320"/>
    </row>
    <row r="150" spans="1:11" ht="15" customHeight="1" x14ac:dyDescent="0.25">
      <c r="A150" s="365"/>
      <c r="B150" s="366" t="s">
        <v>250</v>
      </c>
      <c r="C150" s="367"/>
      <c r="D150" s="367"/>
      <c r="E150" s="367"/>
      <c r="F150" s="367"/>
      <c r="G150" s="368" t="s">
        <v>151</v>
      </c>
      <c r="H150" s="369">
        <f>H162+H174+H184</f>
        <v>110214</v>
      </c>
      <c r="I150" s="370"/>
      <c r="J150" s="370" t="s">
        <v>251</v>
      </c>
      <c r="K150" s="370"/>
    </row>
    <row r="151" spans="1:11" ht="15" customHeight="1" x14ac:dyDescent="0.25">
      <c r="A151" s="365"/>
      <c r="B151" s="371" t="s">
        <v>153</v>
      </c>
      <c r="C151" s="372"/>
      <c r="D151" s="372"/>
      <c r="E151" s="372"/>
      <c r="F151" s="372"/>
      <c r="G151" s="373"/>
      <c r="H151" s="374"/>
      <c r="I151" s="370"/>
      <c r="J151" s="370"/>
      <c r="K151" s="370"/>
    </row>
    <row r="152" spans="1:11" ht="15" customHeight="1" x14ac:dyDescent="0.25">
      <c r="A152" s="365"/>
      <c r="B152" s="375" t="s">
        <v>154</v>
      </c>
      <c r="C152" s="372"/>
      <c r="D152" s="372"/>
      <c r="E152" s="376">
        <f>+H46-50000*0.3432</f>
        <v>3042323.4</v>
      </c>
      <c r="F152" s="370"/>
      <c r="G152" s="377">
        <f>+H46</f>
        <v>3059483.4</v>
      </c>
      <c r="H152" s="370"/>
      <c r="I152" s="370"/>
      <c r="J152" s="370"/>
      <c r="K152" s="370"/>
    </row>
    <row r="153" spans="1:11" ht="15" customHeight="1" x14ac:dyDescent="0.25">
      <c r="A153" s="365"/>
      <c r="B153" s="375" t="s">
        <v>252</v>
      </c>
      <c r="C153" s="372"/>
      <c r="D153" s="372"/>
      <c r="E153" s="376">
        <f>(+G51+G52)*-1</f>
        <v>-2325000</v>
      </c>
      <c r="F153" s="370"/>
      <c r="G153" s="377">
        <f>+E153</f>
        <v>-2325000</v>
      </c>
      <c r="H153" s="370"/>
      <c r="I153" s="370"/>
      <c r="J153" s="370"/>
      <c r="K153" s="370"/>
    </row>
    <row r="154" spans="1:11" ht="15" customHeight="1" thickBot="1" x14ac:dyDescent="0.3">
      <c r="A154" s="365"/>
      <c r="B154" s="375" t="s">
        <v>157</v>
      </c>
      <c r="C154" s="372"/>
      <c r="D154" s="372"/>
      <c r="E154" s="378">
        <f>SUM(E152:E153)</f>
        <v>717323.39999999991</v>
      </c>
      <c r="F154" s="370"/>
      <c r="G154" s="379">
        <f>G152+G153</f>
        <v>734483.39999999991</v>
      </c>
      <c r="H154" s="370"/>
      <c r="I154" s="380"/>
      <c r="J154" s="381"/>
      <c r="K154" s="382"/>
    </row>
    <row r="155" spans="1:11" ht="15" customHeight="1" thickTop="1" x14ac:dyDescent="0.25">
      <c r="A155" s="365"/>
      <c r="B155" s="370"/>
      <c r="C155" s="372"/>
      <c r="D155" s="372"/>
      <c r="E155" s="376">
        <f>+E154</f>
        <v>717323.39999999991</v>
      </c>
      <c r="F155" s="370"/>
      <c r="G155" s="383">
        <f>IF(G154&gt;10000,G154,0)</f>
        <v>734483.39999999991</v>
      </c>
      <c r="H155" s="370"/>
      <c r="I155" s="370"/>
      <c r="J155" s="384"/>
      <c r="K155" s="370"/>
    </row>
    <row r="156" spans="1:11" ht="19.2" customHeight="1" x14ac:dyDescent="0.25">
      <c r="A156" s="365"/>
      <c r="B156" s="385" t="s">
        <v>160</v>
      </c>
      <c r="C156" s="386" t="s">
        <v>161</v>
      </c>
      <c r="D156" s="386" t="s">
        <v>162</v>
      </c>
      <c r="E156" s="386" t="s">
        <v>163</v>
      </c>
      <c r="F156" s="387" t="s">
        <v>164</v>
      </c>
      <c r="G156" s="388" t="s">
        <v>165</v>
      </c>
      <c r="H156" s="386" t="s">
        <v>166</v>
      </c>
      <c r="I156" s="389" t="s">
        <v>167</v>
      </c>
      <c r="J156" s="389"/>
      <c r="K156" s="390" t="s">
        <v>168</v>
      </c>
    </row>
    <row r="157" spans="1:11" ht="15" customHeight="1" x14ac:dyDescent="0.25">
      <c r="A157" s="391">
        <v>0.12</v>
      </c>
      <c r="B157" s="392"/>
      <c r="C157" s="377"/>
      <c r="D157" s="392">
        <v>43997</v>
      </c>
      <c r="E157" s="377">
        <f>E155*0.15</f>
        <v>107598.50999999998</v>
      </c>
      <c r="F157" s="377">
        <f>ROUNDDOWN(+E157,-2)</f>
        <v>107500</v>
      </c>
      <c r="G157" s="377">
        <f>(F157-C157)</f>
        <v>107500</v>
      </c>
      <c r="H157" s="393">
        <f>IF(G157&gt;0,G157*0.12/12*3,0)</f>
        <v>3225</v>
      </c>
      <c r="I157" s="370"/>
      <c r="J157" s="394" t="s">
        <v>169</v>
      </c>
      <c r="K157" s="395">
        <f>+H162</f>
        <v>36774</v>
      </c>
    </row>
    <row r="158" spans="1:11" ht="15" customHeight="1" x14ac:dyDescent="0.25">
      <c r="A158" s="391">
        <v>0.36</v>
      </c>
      <c r="B158" s="392"/>
      <c r="C158" s="377"/>
      <c r="D158" s="392">
        <v>44089</v>
      </c>
      <c r="E158" s="377">
        <f>E155*0.45</f>
        <v>322795.52999999997</v>
      </c>
      <c r="F158" s="377">
        <f>ROUNDDOWN(+E158,-2)</f>
        <v>322700</v>
      </c>
      <c r="G158" s="377">
        <f>(F158-C158-C157)</f>
        <v>322700</v>
      </c>
      <c r="H158" s="393">
        <f>IF(G158&gt;0,G158*0.12/12*3,0)</f>
        <v>9681</v>
      </c>
      <c r="I158" s="370"/>
      <c r="J158" s="394" t="s">
        <v>170</v>
      </c>
      <c r="K158" s="395">
        <f>+K157</f>
        <v>36774</v>
      </c>
    </row>
    <row r="159" spans="1:11" ht="15" customHeight="1" x14ac:dyDescent="0.25">
      <c r="A159" s="365"/>
      <c r="B159" s="396" t="s">
        <v>171</v>
      </c>
      <c r="C159" s="377"/>
      <c r="D159" s="392">
        <v>44180</v>
      </c>
      <c r="E159" s="377">
        <f>G155*0.75</f>
        <v>550862.54999999993</v>
      </c>
      <c r="F159" s="377">
        <f>ROUNDDOWN(+E159,-2)</f>
        <v>550800</v>
      </c>
      <c r="G159" s="377">
        <f>(F159-(C157+C158+C159))</f>
        <v>550800</v>
      </c>
      <c r="H159" s="393">
        <f>IF(G159&gt;0,G159*0.12/12*3,0)</f>
        <v>16524</v>
      </c>
      <c r="I159" s="370"/>
      <c r="J159" s="394" t="s">
        <v>172</v>
      </c>
      <c r="K159" s="395">
        <f>+K157</f>
        <v>36774</v>
      </c>
    </row>
    <row r="160" spans="1:11" ht="15" customHeight="1" x14ac:dyDescent="0.25">
      <c r="A160" s="365"/>
      <c r="B160" s="392"/>
      <c r="C160" s="377"/>
      <c r="D160" s="392">
        <v>44270</v>
      </c>
      <c r="E160" s="377">
        <f>G155*1</f>
        <v>734483.39999999991</v>
      </c>
      <c r="F160" s="377">
        <f>ROUNDDOWN(+E160,-2)</f>
        <v>734400</v>
      </c>
      <c r="G160" s="377">
        <f>(F160-(C157+C158+C159+C160))</f>
        <v>734400</v>
      </c>
      <c r="H160" s="393">
        <f>IF(G160&gt;0,G160*0.12/12,0)</f>
        <v>7344</v>
      </c>
      <c r="I160" s="370"/>
      <c r="J160" s="384"/>
      <c r="K160" s="370"/>
    </row>
    <row r="161" spans="1:11" ht="15" customHeight="1" x14ac:dyDescent="0.25">
      <c r="A161" s="365"/>
      <c r="B161" s="392"/>
      <c r="C161" s="377"/>
      <c r="D161" s="392">
        <v>44286</v>
      </c>
      <c r="E161" s="370"/>
      <c r="F161" s="380"/>
      <c r="G161" s="380"/>
      <c r="H161" s="376"/>
      <c r="I161" s="370"/>
      <c r="J161" s="384"/>
      <c r="K161" s="370"/>
    </row>
    <row r="162" spans="1:11" ht="15" customHeight="1" thickBot="1" x14ac:dyDescent="0.3">
      <c r="A162" s="365"/>
      <c r="B162" s="372"/>
      <c r="C162" s="397">
        <f>SUM(C157:C161)</f>
        <v>0</v>
      </c>
      <c r="D162" s="372"/>
      <c r="E162" s="372"/>
      <c r="F162" s="372"/>
      <c r="G162" s="372"/>
      <c r="H162" s="398">
        <f>SUM(H157:H161)</f>
        <v>36774</v>
      </c>
      <c r="I162" s="370"/>
      <c r="J162" s="384"/>
      <c r="K162" s="370"/>
    </row>
    <row r="163" spans="1:11" ht="15" customHeight="1" thickTop="1" thickBot="1" x14ac:dyDescent="0.3">
      <c r="A163" s="365"/>
      <c r="B163" s="399"/>
      <c r="C163" s="400"/>
      <c r="D163" s="399"/>
      <c r="E163" s="399"/>
      <c r="F163" s="399"/>
      <c r="G163" s="399"/>
      <c r="H163" s="399"/>
      <c r="I163" s="370"/>
      <c r="J163" s="370"/>
      <c r="K163" s="370"/>
    </row>
    <row r="164" spans="1:11" ht="15" customHeight="1" x14ac:dyDescent="0.25">
      <c r="A164" s="365"/>
      <c r="B164" s="371" t="s">
        <v>173</v>
      </c>
      <c r="C164" s="401"/>
      <c r="D164" s="372"/>
      <c r="E164" s="372"/>
      <c r="F164" s="372"/>
      <c r="G164" s="372"/>
      <c r="H164" s="402" t="s">
        <v>166</v>
      </c>
      <c r="I164" s="370"/>
      <c r="J164" s="370"/>
      <c r="K164" s="370"/>
    </row>
    <row r="165" spans="1:11" ht="15" customHeight="1" x14ac:dyDescent="0.25">
      <c r="A165" s="365"/>
      <c r="B165" s="375" t="s">
        <v>154</v>
      </c>
      <c r="C165" s="372"/>
      <c r="D165" s="372"/>
      <c r="E165" s="377">
        <f>+G152</f>
        <v>3059483.4</v>
      </c>
      <c r="F165" s="372"/>
      <c r="G165" s="403">
        <v>44287</v>
      </c>
      <c r="H165" s="393">
        <f>F175*0.01</f>
        <v>7344</v>
      </c>
      <c r="I165" s="370"/>
      <c r="J165" s="370"/>
      <c r="K165" s="370"/>
    </row>
    <row r="166" spans="1:11" ht="15" customHeight="1" x14ac:dyDescent="0.25">
      <c r="A166" s="365"/>
      <c r="B166" s="404" t="s">
        <v>252</v>
      </c>
      <c r="C166" s="372"/>
      <c r="D166" s="372"/>
      <c r="E166" s="377">
        <f>+G153</f>
        <v>-2325000</v>
      </c>
      <c r="F166" s="372"/>
      <c r="G166" s="403">
        <v>44317</v>
      </c>
      <c r="H166" s="393">
        <f>+H165</f>
        <v>7344</v>
      </c>
      <c r="I166" s="405" t="s">
        <v>167</v>
      </c>
      <c r="J166" s="405"/>
      <c r="K166" s="406" t="s">
        <v>176</v>
      </c>
    </row>
    <row r="167" spans="1:11" ht="15" customHeight="1" thickBot="1" x14ac:dyDescent="0.3">
      <c r="A167" s="365"/>
      <c r="B167" s="404"/>
      <c r="C167" s="372"/>
      <c r="D167" s="372"/>
      <c r="E167" s="379">
        <f>E165+E166</f>
        <v>734483.39999999991</v>
      </c>
      <c r="F167" s="370"/>
      <c r="G167" s="403">
        <v>44348</v>
      </c>
      <c r="H167" s="393">
        <f>+H166</f>
        <v>7344</v>
      </c>
      <c r="I167" s="370"/>
      <c r="J167" s="407" t="s">
        <v>169</v>
      </c>
      <c r="K167" s="408">
        <v>51408</v>
      </c>
    </row>
    <row r="168" spans="1:11" ht="15" customHeight="1" thickTop="1" x14ac:dyDescent="0.25">
      <c r="A168" s="365"/>
      <c r="B168" s="370"/>
      <c r="C168" s="370"/>
      <c r="D168" s="370"/>
      <c r="E168" s="370"/>
      <c r="F168" s="372"/>
      <c r="G168" s="403">
        <v>44378</v>
      </c>
      <c r="H168" s="393">
        <f>+H166</f>
        <v>7344</v>
      </c>
      <c r="I168" s="370"/>
      <c r="J168" s="407" t="s">
        <v>170</v>
      </c>
      <c r="K168" s="408">
        <f>K167+H171</f>
        <v>58752</v>
      </c>
    </row>
    <row r="169" spans="1:11" ht="15" customHeight="1" x14ac:dyDescent="0.25">
      <c r="A169" s="365"/>
      <c r="B169" s="372" t="s">
        <v>175</v>
      </c>
      <c r="C169" s="401"/>
      <c r="D169" s="409">
        <v>0.9</v>
      </c>
      <c r="E169" s="410">
        <f>ROUND(E167*90%,0)</f>
        <v>661035</v>
      </c>
      <c r="F169" s="372"/>
      <c r="G169" s="403">
        <v>44409</v>
      </c>
      <c r="H169" s="393">
        <f>+H166</f>
        <v>7344</v>
      </c>
      <c r="I169" s="370"/>
      <c r="J169" s="407" t="s">
        <v>172</v>
      </c>
      <c r="K169" s="408">
        <f>K168+H165</f>
        <v>66096</v>
      </c>
    </row>
    <row r="170" spans="1:11" ht="15" customHeight="1" x14ac:dyDescent="0.25">
      <c r="A170" s="365"/>
      <c r="B170" s="372" t="s">
        <v>177</v>
      </c>
      <c r="C170" s="401"/>
      <c r="D170" s="372"/>
      <c r="E170" s="377">
        <f>ROUND(+C162,0)</f>
        <v>0</v>
      </c>
      <c r="F170" s="372"/>
      <c r="G170" s="403">
        <v>44440</v>
      </c>
      <c r="H170" s="411">
        <f>+H169</f>
        <v>7344</v>
      </c>
      <c r="I170" s="412"/>
      <c r="J170" s="413"/>
      <c r="K170" s="370"/>
    </row>
    <row r="171" spans="1:11" ht="15" customHeight="1" x14ac:dyDescent="0.25">
      <c r="A171" s="365"/>
      <c r="B171" s="370" t="s">
        <v>178</v>
      </c>
      <c r="C171" s="401"/>
      <c r="D171" s="372"/>
      <c r="E171" s="377">
        <f>E167-E170</f>
        <v>734483.39999999991</v>
      </c>
      <c r="F171" s="377">
        <f>ROUNDDOWN(E171,-2)</f>
        <v>734400</v>
      </c>
      <c r="G171" s="403">
        <v>44470</v>
      </c>
      <c r="H171" s="411">
        <f>+H170</f>
        <v>7344</v>
      </c>
      <c r="I171" s="412"/>
      <c r="J171" s="413"/>
      <c r="K171" s="370"/>
    </row>
    <row r="172" spans="1:11" ht="15" customHeight="1" x14ac:dyDescent="0.25">
      <c r="A172" s="365"/>
      <c r="B172" s="414">
        <v>44303</v>
      </c>
      <c r="C172" s="372" t="s">
        <v>179</v>
      </c>
      <c r="D172" s="372"/>
      <c r="E172" s="415">
        <f>+G126</f>
        <v>0</v>
      </c>
      <c r="F172" s="372"/>
      <c r="G172" s="403">
        <v>44501</v>
      </c>
      <c r="H172" s="370"/>
      <c r="I172" s="412"/>
      <c r="J172" s="413"/>
      <c r="K172" s="370"/>
    </row>
    <row r="173" spans="1:11" ht="15" customHeight="1" x14ac:dyDescent="0.25">
      <c r="A173" s="365"/>
      <c r="B173" s="370"/>
      <c r="C173" s="416" t="s">
        <v>180</v>
      </c>
      <c r="D173" s="370"/>
      <c r="E173" s="415">
        <v>34000</v>
      </c>
      <c r="F173" s="372"/>
      <c r="G173" s="403">
        <v>44531</v>
      </c>
      <c r="H173" s="413"/>
      <c r="I173" s="370"/>
      <c r="J173" s="370"/>
      <c r="K173" s="370"/>
    </row>
    <row r="174" spans="1:11" ht="15" customHeight="1" thickBot="1" x14ac:dyDescent="0.3">
      <c r="A174" s="365"/>
      <c r="B174" s="370"/>
      <c r="C174" s="375" t="s">
        <v>181</v>
      </c>
      <c r="D174" s="370"/>
      <c r="E174" s="415">
        <f>E172-E173</f>
        <v>-34000</v>
      </c>
      <c r="F174" s="372"/>
      <c r="G174" s="372"/>
      <c r="H174" s="398">
        <f>SUM(H165:H173)</f>
        <v>51408</v>
      </c>
      <c r="I174" s="370"/>
      <c r="J174" s="370"/>
      <c r="K174" s="370"/>
    </row>
    <row r="175" spans="1:11" ht="15" customHeight="1" thickTop="1" x14ac:dyDescent="0.25">
      <c r="A175" s="365"/>
      <c r="B175" s="370" t="s">
        <v>182</v>
      </c>
      <c r="C175" s="375"/>
      <c r="D175" s="370"/>
      <c r="E175" s="417">
        <f>+E171</f>
        <v>734483.39999999991</v>
      </c>
      <c r="F175" s="377">
        <f>ROUNDDOWN(E175,-2)</f>
        <v>734400</v>
      </c>
      <c r="G175" s="372"/>
      <c r="H175" s="413"/>
      <c r="I175" s="370"/>
      <c r="J175" s="370"/>
      <c r="K175" s="370"/>
    </row>
    <row r="176" spans="1:11" ht="15" customHeight="1" thickBot="1" x14ac:dyDescent="0.3">
      <c r="A176" s="365"/>
      <c r="B176" s="418"/>
      <c r="C176" s="419"/>
      <c r="D176" s="418"/>
      <c r="E176" s="420"/>
      <c r="F176" s="421"/>
      <c r="G176" s="399"/>
      <c r="H176" s="422"/>
      <c r="I176" s="370"/>
      <c r="J176" s="370"/>
      <c r="K176" s="370"/>
    </row>
    <row r="177" spans="1:11" ht="15" customHeight="1" x14ac:dyDescent="0.25">
      <c r="A177" s="365"/>
      <c r="B177" s="371" t="s">
        <v>183</v>
      </c>
      <c r="C177" s="412"/>
      <c r="D177" s="412"/>
      <c r="E177" s="412"/>
      <c r="F177" s="412"/>
      <c r="G177" s="412"/>
      <c r="H177" s="412"/>
      <c r="I177" s="412"/>
      <c r="J177" s="413"/>
      <c r="K177" s="370"/>
    </row>
    <row r="178" spans="1:11" ht="15" customHeight="1" x14ac:dyDescent="0.25">
      <c r="A178" s="365"/>
      <c r="B178" s="375" t="s">
        <v>154</v>
      </c>
      <c r="C178" s="372"/>
      <c r="D178" s="372"/>
      <c r="E178" s="377">
        <f>+G152</f>
        <v>3059483.4</v>
      </c>
      <c r="F178" s="412"/>
      <c r="G178" s="372"/>
      <c r="H178" s="402" t="s">
        <v>166</v>
      </c>
      <c r="I178" s="423" t="s">
        <v>167</v>
      </c>
      <c r="J178" s="423"/>
      <c r="K178" s="424" t="s">
        <v>185</v>
      </c>
    </row>
    <row r="179" spans="1:11" ht="15" customHeight="1" x14ac:dyDescent="0.25">
      <c r="A179" s="365"/>
      <c r="B179" s="404" t="s">
        <v>252</v>
      </c>
      <c r="C179" s="372"/>
      <c r="D179" s="372"/>
      <c r="E179" s="377">
        <f>+G153</f>
        <v>-2325000</v>
      </c>
      <c r="F179" s="412"/>
      <c r="G179" s="403">
        <v>44409</v>
      </c>
      <c r="H179" s="393">
        <f>E185*0.01</f>
        <v>7344</v>
      </c>
      <c r="I179" s="412"/>
      <c r="J179" s="425" t="s">
        <v>169</v>
      </c>
      <c r="K179" s="426">
        <v>22032</v>
      </c>
    </row>
    <row r="180" spans="1:11" ht="15" customHeight="1" x14ac:dyDescent="0.25">
      <c r="A180" s="365"/>
      <c r="B180" s="404" t="s">
        <v>186</v>
      </c>
      <c r="C180" s="372"/>
      <c r="D180" s="372"/>
      <c r="E180" s="377"/>
      <c r="F180" s="412"/>
      <c r="G180" s="403">
        <v>44440</v>
      </c>
      <c r="H180" s="393">
        <f>+H179</f>
        <v>7344</v>
      </c>
      <c r="I180" s="412"/>
      <c r="J180" s="425" t="s">
        <v>170</v>
      </c>
      <c r="K180" s="426">
        <f>+H179+K179</f>
        <v>29376</v>
      </c>
    </row>
    <row r="181" spans="1:11" ht="15" customHeight="1" x14ac:dyDescent="0.25">
      <c r="A181" s="365"/>
      <c r="B181" s="404" t="s">
        <v>187</v>
      </c>
      <c r="C181" s="372"/>
      <c r="D181" s="372"/>
      <c r="E181" s="427">
        <v>34000</v>
      </c>
      <c r="F181" s="412"/>
      <c r="G181" s="403">
        <v>44470</v>
      </c>
      <c r="H181" s="393">
        <f>+H180</f>
        <v>7344</v>
      </c>
      <c r="I181" s="412"/>
      <c r="J181" s="425" t="s">
        <v>172</v>
      </c>
      <c r="K181" s="426">
        <f>K180+H179</f>
        <v>36720</v>
      </c>
    </row>
    <row r="182" spans="1:11" ht="15" customHeight="1" x14ac:dyDescent="0.25">
      <c r="A182" s="365"/>
      <c r="B182" s="404" t="s">
        <v>188</v>
      </c>
      <c r="C182" s="372"/>
      <c r="D182" s="372"/>
      <c r="E182" s="428"/>
      <c r="F182" s="412"/>
      <c r="G182" s="403">
        <v>44501</v>
      </c>
      <c r="H182" s="393"/>
      <c r="I182" s="370"/>
      <c r="J182" s="370"/>
      <c r="K182" s="370"/>
    </row>
    <row r="183" spans="1:11" ht="15" customHeight="1" x14ac:dyDescent="0.25">
      <c r="A183" s="365"/>
      <c r="B183" s="404" t="s">
        <v>189</v>
      </c>
      <c r="C183" s="372"/>
      <c r="D183" s="372"/>
      <c r="E183" s="429">
        <v>-34000</v>
      </c>
      <c r="F183" s="412"/>
      <c r="G183" s="403">
        <v>44531</v>
      </c>
      <c r="H183" s="393"/>
      <c r="I183" s="370"/>
      <c r="J183" s="370"/>
      <c r="K183" s="370"/>
    </row>
    <row r="184" spans="1:11" ht="15" customHeight="1" thickBot="1" x14ac:dyDescent="0.3">
      <c r="A184" s="365"/>
      <c r="B184" s="370"/>
      <c r="C184" s="370"/>
      <c r="D184" s="370"/>
      <c r="E184" s="379">
        <f>SUM(E178:E183)</f>
        <v>734483.39999999991</v>
      </c>
      <c r="F184" s="412"/>
      <c r="G184" s="430"/>
      <c r="H184" s="398">
        <f>SUM(H179:H183)</f>
        <v>22032</v>
      </c>
      <c r="I184" s="370"/>
      <c r="J184" s="370"/>
      <c r="K184" s="370"/>
    </row>
    <row r="185" spans="1:11" ht="15" customHeight="1" thickTop="1" x14ac:dyDescent="0.25">
      <c r="A185" s="365"/>
      <c r="B185" s="370"/>
      <c r="C185" s="372"/>
      <c r="D185" s="372"/>
      <c r="E185" s="377">
        <f>ROUNDDOWN(+E184,-2)</f>
        <v>734400</v>
      </c>
      <c r="F185" s="412"/>
      <c r="G185" s="412"/>
      <c r="H185" s="412"/>
      <c r="I185" s="370"/>
      <c r="J185" s="370"/>
      <c r="K185" s="370"/>
    </row>
  </sheetData>
  <mergeCells count="32">
    <mergeCell ref="I178:J178"/>
    <mergeCell ref="B119:H119"/>
    <mergeCell ref="B120:H120"/>
    <mergeCell ref="B121:G121"/>
    <mergeCell ref="G123:H123"/>
    <mergeCell ref="I156:J156"/>
    <mergeCell ref="I166:J166"/>
    <mergeCell ref="G111:H111"/>
    <mergeCell ref="B114:H114"/>
    <mergeCell ref="B115:H115"/>
    <mergeCell ref="B116:H116"/>
    <mergeCell ref="B117:H117"/>
    <mergeCell ref="B118:H118"/>
    <mergeCell ref="F58:H58"/>
    <mergeCell ref="K66:L66"/>
    <mergeCell ref="K68:L68"/>
    <mergeCell ref="I80:J80"/>
    <mergeCell ref="I93:J93"/>
    <mergeCell ref="I103:J103"/>
    <mergeCell ref="C51:D51"/>
    <mergeCell ref="E51:F51"/>
    <mergeCell ref="C52:D52"/>
    <mergeCell ref="E52:F52"/>
    <mergeCell ref="A55:I55"/>
    <mergeCell ref="A56:B56"/>
    <mergeCell ref="F56:I56"/>
    <mergeCell ref="A1:C1"/>
    <mergeCell ref="D1:H1"/>
    <mergeCell ref="J1:L1"/>
    <mergeCell ref="A2:C2"/>
    <mergeCell ref="F2:G2"/>
    <mergeCell ref="C50:E50"/>
  </mergeCells>
  <conditionalFormatting sqref="F40">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vt:lpstr>
      <vt:lpst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2021-10-07T00:21:13Z</dcterms:created>
  <dcterms:modified xsi:type="dcterms:W3CDTF">2021-10-07T00:22:27Z</dcterms:modified>
</cp:coreProperties>
</file>